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7EAC6E97-6736-4AB3-96B9-5F44AC105103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4" i="1" l="1"/>
  <c r="H673" i="1"/>
  <c r="H672" i="1" s="1"/>
  <c r="H671" i="1" s="1"/>
  <c r="H670" i="1"/>
  <c r="H669" i="1"/>
  <c r="H668" i="1" s="1"/>
  <c r="H667" i="1" s="1"/>
  <c r="H666" i="1"/>
  <c r="H665" i="1" s="1"/>
  <c r="H664" i="1"/>
  <c r="H663" i="1" s="1"/>
  <c r="F674" i="1"/>
  <c r="E674" i="1"/>
  <c r="F673" i="1"/>
  <c r="F672" i="1" s="1"/>
  <c r="E673" i="1"/>
  <c r="E672" i="1" s="1"/>
  <c r="E671" i="1" s="1"/>
  <c r="F670" i="1"/>
  <c r="E670" i="1"/>
  <c r="F669" i="1"/>
  <c r="F668" i="1" s="1"/>
  <c r="E669" i="1"/>
  <c r="E668" i="1" s="1"/>
  <c r="E667" i="1" s="1"/>
  <c r="F666" i="1"/>
  <c r="F665" i="1" s="1"/>
  <c r="E666" i="1"/>
  <c r="E665" i="1" s="1"/>
  <c r="F664" i="1"/>
  <c r="F663" i="1" s="1"/>
  <c r="E664" i="1"/>
  <c r="E663" i="1" s="1"/>
  <c r="E675" i="1" s="1"/>
  <c r="H661" i="1"/>
  <c r="H660" i="1" s="1"/>
  <c r="H659" i="1" s="1"/>
  <c r="F661" i="1"/>
  <c r="F660" i="1" s="1"/>
  <c r="F659" i="1" s="1"/>
  <c r="E661" i="1"/>
  <c r="E660" i="1" s="1"/>
  <c r="E659" i="1" s="1"/>
  <c r="H658" i="1"/>
  <c r="F658" i="1"/>
  <c r="E658" i="1"/>
  <c r="H657" i="1"/>
  <c r="F657" i="1"/>
  <c r="E657" i="1"/>
  <c r="H654" i="1"/>
  <c r="F654" i="1"/>
  <c r="E654" i="1"/>
  <c r="H653" i="1"/>
  <c r="F653" i="1"/>
  <c r="E653" i="1"/>
  <c r="H650" i="1"/>
  <c r="F650" i="1"/>
  <c r="F648" i="1" s="1"/>
  <c r="E650" i="1"/>
  <c r="H649" i="1"/>
  <c r="F649" i="1"/>
  <c r="E649" i="1"/>
  <c r="H647" i="1"/>
  <c r="F647" i="1"/>
  <c r="E647" i="1"/>
  <c r="H646" i="1"/>
  <c r="F646" i="1"/>
  <c r="E646" i="1"/>
  <c r="H645" i="1"/>
  <c r="F645" i="1"/>
  <c r="E645" i="1"/>
  <c r="H644" i="1"/>
  <c r="F644" i="1"/>
  <c r="E644" i="1"/>
  <c r="H642" i="1"/>
  <c r="F642" i="1"/>
  <c r="E642" i="1"/>
  <c r="H641" i="1"/>
  <c r="F641" i="1"/>
  <c r="E641" i="1"/>
  <c r="H640" i="1"/>
  <c r="F640" i="1"/>
  <c r="E640" i="1"/>
  <c r="H639" i="1"/>
  <c r="F639" i="1"/>
  <c r="E639" i="1"/>
  <c r="H637" i="1"/>
  <c r="F637" i="1"/>
  <c r="E637" i="1"/>
  <c r="H636" i="1"/>
  <c r="F636" i="1"/>
  <c r="E636" i="1"/>
  <c r="H635" i="1"/>
  <c r="F635" i="1"/>
  <c r="E635" i="1"/>
  <c r="H634" i="1"/>
  <c r="F634" i="1"/>
  <c r="E634" i="1"/>
  <c r="H633" i="1"/>
  <c r="F633" i="1"/>
  <c r="E633" i="1"/>
  <c r="H631" i="1"/>
  <c r="F631" i="1"/>
  <c r="E631" i="1"/>
  <c r="H630" i="1"/>
  <c r="F630" i="1"/>
  <c r="E630" i="1"/>
  <c r="H628" i="1"/>
  <c r="F628" i="1"/>
  <c r="E628" i="1"/>
  <c r="H627" i="1"/>
  <c r="F627" i="1"/>
  <c r="E627" i="1"/>
  <c r="H625" i="1"/>
  <c r="F625" i="1"/>
  <c r="E625" i="1"/>
  <c r="H624" i="1"/>
  <c r="F624" i="1"/>
  <c r="E624" i="1"/>
  <c r="H623" i="1"/>
  <c r="F623" i="1"/>
  <c r="E623" i="1"/>
  <c r="H622" i="1"/>
  <c r="F622" i="1"/>
  <c r="E622" i="1"/>
  <c r="H620" i="1"/>
  <c r="F620" i="1"/>
  <c r="E620" i="1"/>
  <c r="H619" i="1"/>
  <c r="F619" i="1"/>
  <c r="E619" i="1"/>
  <c r="H618" i="1"/>
  <c r="F618" i="1"/>
  <c r="E618" i="1"/>
  <c r="H617" i="1"/>
  <c r="F617" i="1"/>
  <c r="E617" i="1"/>
  <c r="H616" i="1"/>
  <c r="F616" i="1"/>
  <c r="E616" i="1"/>
  <c r="H615" i="1"/>
  <c r="F615" i="1"/>
  <c r="E615" i="1"/>
  <c r="H614" i="1"/>
  <c r="F614" i="1"/>
  <c r="E614" i="1"/>
  <c r="H613" i="1"/>
  <c r="F613" i="1"/>
  <c r="E613" i="1"/>
  <c r="H610" i="1"/>
  <c r="F610" i="1"/>
  <c r="E610" i="1"/>
  <c r="H609" i="1"/>
  <c r="F609" i="1"/>
  <c r="E609" i="1"/>
  <c r="H608" i="1"/>
  <c r="F608" i="1"/>
  <c r="E608" i="1"/>
  <c r="H607" i="1"/>
  <c r="F607" i="1"/>
  <c r="E607" i="1"/>
  <c r="H606" i="1"/>
  <c r="F606" i="1"/>
  <c r="E606" i="1"/>
  <c r="H605" i="1"/>
  <c r="F605" i="1"/>
  <c r="E605" i="1"/>
  <c r="H604" i="1"/>
  <c r="F604" i="1"/>
  <c r="E604" i="1"/>
  <c r="H603" i="1"/>
  <c r="F603" i="1"/>
  <c r="E603" i="1"/>
  <c r="H602" i="1"/>
  <c r="F602" i="1"/>
  <c r="E602" i="1"/>
  <c r="H601" i="1"/>
  <c r="F601" i="1"/>
  <c r="E601" i="1"/>
  <c r="H599" i="1"/>
  <c r="F599" i="1"/>
  <c r="E599" i="1"/>
  <c r="H597" i="1"/>
  <c r="F597" i="1"/>
  <c r="E597" i="1"/>
  <c r="H596" i="1"/>
  <c r="F596" i="1"/>
  <c r="E596" i="1"/>
  <c r="H595" i="1"/>
  <c r="F595" i="1"/>
  <c r="E595" i="1"/>
  <c r="H594" i="1"/>
  <c r="F594" i="1"/>
  <c r="E594" i="1"/>
  <c r="H593" i="1"/>
  <c r="F593" i="1"/>
  <c r="E593" i="1"/>
  <c r="H592" i="1"/>
  <c r="F592" i="1"/>
  <c r="E592" i="1"/>
  <c r="H591" i="1"/>
  <c r="F591" i="1"/>
  <c r="E591" i="1"/>
  <c r="H590" i="1"/>
  <c r="F590" i="1"/>
  <c r="E590" i="1"/>
  <c r="H589" i="1"/>
  <c r="F589" i="1"/>
  <c r="E589" i="1"/>
  <c r="H588" i="1"/>
  <c r="F588" i="1"/>
  <c r="E588" i="1"/>
  <c r="H587" i="1"/>
  <c r="F587" i="1"/>
  <c r="E587" i="1"/>
  <c r="H586" i="1"/>
  <c r="F586" i="1"/>
  <c r="E586" i="1"/>
  <c r="H585" i="1"/>
  <c r="F585" i="1"/>
  <c r="E585" i="1"/>
  <c r="H584" i="1"/>
  <c r="F584" i="1"/>
  <c r="E584" i="1"/>
  <c r="H583" i="1"/>
  <c r="F583" i="1"/>
  <c r="E583" i="1"/>
  <c r="H582" i="1"/>
  <c r="F582" i="1"/>
  <c r="E582" i="1"/>
  <c r="H581" i="1"/>
  <c r="F581" i="1"/>
  <c r="E581" i="1"/>
  <c r="H580" i="1"/>
  <c r="F580" i="1"/>
  <c r="E580" i="1"/>
  <c r="H579" i="1"/>
  <c r="F579" i="1"/>
  <c r="E579" i="1"/>
  <c r="H577" i="1"/>
  <c r="F577" i="1"/>
  <c r="E577" i="1"/>
  <c r="H576" i="1"/>
  <c r="F576" i="1"/>
  <c r="E576" i="1"/>
  <c r="H575" i="1"/>
  <c r="F575" i="1"/>
  <c r="E575" i="1"/>
  <c r="H574" i="1"/>
  <c r="F574" i="1"/>
  <c r="E574" i="1"/>
  <c r="H573" i="1"/>
  <c r="F573" i="1"/>
  <c r="E573" i="1"/>
  <c r="H572" i="1"/>
  <c r="H571" i="1" s="1"/>
  <c r="F572" i="1"/>
  <c r="F571" i="1" s="1"/>
  <c r="E572" i="1"/>
  <c r="E571" i="1" s="1"/>
  <c r="H570" i="1"/>
  <c r="F570" i="1"/>
  <c r="E570" i="1"/>
  <c r="H569" i="1"/>
  <c r="F569" i="1"/>
  <c r="E569" i="1"/>
  <c r="H567" i="1"/>
  <c r="F567" i="1"/>
  <c r="E567" i="1"/>
  <c r="H566" i="1"/>
  <c r="F566" i="1"/>
  <c r="E566" i="1"/>
  <c r="H565" i="1"/>
  <c r="F565" i="1"/>
  <c r="E565" i="1"/>
  <c r="H564" i="1"/>
  <c r="F564" i="1"/>
  <c r="E564" i="1"/>
  <c r="H563" i="1"/>
  <c r="F563" i="1"/>
  <c r="E563" i="1"/>
  <c r="H562" i="1"/>
  <c r="F562" i="1"/>
  <c r="E562" i="1"/>
  <c r="H561" i="1"/>
  <c r="F561" i="1"/>
  <c r="E561" i="1"/>
  <c r="H560" i="1"/>
  <c r="F560" i="1"/>
  <c r="E560" i="1"/>
  <c r="H559" i="1"/>
  <c r="F559" i="1"/>
  <c r="E559" i="1"/>
  <c r="H558" i="1"/>
  <c r="F558" i="1"/>
  <c r="E558" i="1"/>
  <c r="H557" i="1"/>
  <c r="F557" i="1"/>
  <c r="E557" i="1"/>
  <c r="H556" i="1"/>
  <c r="F556" i="1"/>
  <c r="E556" i="1"/>
  <c r="H555" i="1"/>
  <c r="F555" i="1"/>
  <c r="E555" i="1"/>
  <c r="H554" i="1"/>
  <c r="F554" i="1"/>
  <c r="E554" i="1"/>
  <c r="H553" i="1"/>
  <c r="F553" i="1"/>
  <c r="E553" i="1"/>
  <c r="H552" i="1"/>
  <c r="F552" i="1"/>
  <c r="E552" i="1"/>
  <c r="H551" i="1"/>
  <c r="F551" i="1"/>
  <c r="E551" i="1"/>
  <c r="H550" i="1"/>
  <c r="F550" i="1"/>
  <c r="E550" i="1"/>
  <c r="H549" i="1"/>
  <c r="F549" i="1"/>
  <c r="E549" i="1"/>
  <c r="H548" i="1"/>
  <c r="F548" i="1"/>
  <c r="E548" i="1"/>
  <c r="H533" i="1"/>
  <c r="F533" i="1"/>
  <c r="E533" i="1"/>
  <c r="H532" i="1"/>
  <c r="F532" i="1"/>
  <c r="E532" i="1"/>
  <c r="H531" i="1"/>
  <c r="F531" i="1"/>
  <c r="E531" i="1"/>
  <c r="H530" i="1"/>
  <c r="F530" i="1"/>
  <c r="E530" i="1"/>
  <c r="H529" i="1"/>
  <c r="F529" i="1"/>
  <c r="E529" i="1"/>
  <c r="H528" i="1"/>
  <c r="F528" i="1"/>
  <c r="E528" i="1"/>
  <c r="H527" i="1"/>
  <c r="F527" i="1"/>
  <c r="E527" i="1"/>
  <c r="H526" i="1"/>
  <c r="F526" i="1"/>
  <c r="E526" i="1"/>
  <c r="H525" i="1"/>
  <c r="F525" i="1"/>
  <c r="E525" i="1"/>
  <c r="H524" i="1"/>
  <c r="F524" i="1"/>
  <c r="E524" i="1"/>
  <c r="H523" i="1"/>
  <c r="F523" i="1"/>
  <c r="E523" i="1"/>
  <c r="H521" i="1"/>
  <c r="F521" i="1"/>
  <c r="E521" i="1"/>
  <c r="H520" i="1"/>
  <c r="F520" i="1"/>
  <c r="E520" i="1"/>
  <c r="H519" i="1"/>
  <c r="F519" i="1"/>
  <c r="E519" i="1"/>
  <c r="H518" i="1"/>
  <c r="F518" i="1"/>
  <c r="E518" i="1"/>
  <c r="H516" i="1"/>
  <c r="H515" i="1" s="1"/>
  <c r="F516" i="1"/>
  <c r="F515" i="1" s="1"/>
  <c r="E516" i="1"/>
  <c r="E515" i="1" s="1"/>
  <c r="H514" i="1"/>
  <c r="F514" i="1"/>
  <c r="E514" i="1"/>
  <c r="H513" i="1"/>
  <c r="F513" i="1"/>
  <c r="E513" i="1"/>
  <c r="H512" i="1"/>
  <c r="F512" i="1"/>
  <c r="E512" i="1"/>
  <c r="H511" i="1"/>
  <c r="F511" i="1"/>
  <c r="E511" i="1"/>
  <c r="H510" i="1"/>
  <c r="F510" i="1"/>
  <c r="E510" i="1"/>
  <c r="H507" i="1"/>
  <c r="F507" i="1"/>
  <c r="E507" i="1"/>
  <c r="H506" i="1"/>
  <c r="F506" i="1"/>
  <c r="E506" i="1"/>
  <c r="H504" i="1"/>
  <c r="F504" i="1"/>
  <c r="E504" i="1"/>
  <c r="H503" i="1"/>
  <c r="F503" i="1"/>
  <c r="E503" i="1"/>
  <c r="H502" i="1"/>
  <c r="F502" i="1"/>
  <c r="E502" i="1"/>
  <c r="H501" i="1"/>
  <c r="F501" i="1"/>
  <c r="E501" i="1"/>
  <c r="H500" i="1"/>
  <c r="F500" i="1"/>
  <c r="E500" i="1"/>
  <c r="H498" i="1"/>
  <c r="F498" i="1"/>
  <c r="E498" i="1"/>
  <c r="F568" i="1" l="1"/>
  <c r="F600" i="1"/>
  <c r="H629" i="1"/>
  <c r="F505" i="1"/>
  <c r="H505" i="1"/>
  <c r="E600" i="1"/>
  <c r="H648" i="1"/>
  <c r="H675" i="1"/>
  <c r="E621" i="1"/>
  <c r="H643" i="1"/>
  <c r="F626" i="1"/>
  <c r="E638" i="1"/>
  <c r="E643" i="1"/>
  <c r="F652" i="1"/>
  <c r="H652" i="1"/>
  <c r="F667" i="1"/>
  <c r="F675" i="1" s="1"/>
  <c r="F671" i="1"/>
  <c r="E499" i="1"/>
  <c r="E632" i="1"/>
  <c r="E517" i="1"/>
  <c r="F522" i="1"/>
  <c r="E568" i="1"/>
  <c r="H621" i="1"/>
  <c r="H626" i="1"/>
  <c r="E629" i="1"/>
  <c r="F632" i="1"/>
  <c r="H656" i="1"/>
  <c r="H655" i="1" s="1"/>
  <c r="F598" i="1"/>
  <c r="H517" i="1"/>
  <c r="E648" i="1"/>
  <c r="E656" i="1"/>
  <c r="E655" i="1" s="1"/>
  <c r="E578" i="1"/>
  <c r="H578" i="1"/>
  <c r="E626" i="1"/>
  <c r="F629" i="1"/>
  <c r="H632" i="1"/>
  <c r="F656" i="1"/>
  <c r="F655" i="1" s="1"/>
  <c r="H499" i="1"/>
  <c r="H600" i="1"/>
  <c r="H598" i="1" s="1"/>
  <c r="H638" i="1"/>
  <c r="F643" i="1"/>
  <c r="H509" i="1"/>
  <c r="E509" i="1"/>
  <c r="F509" i="1"/>
  <c r="H568" i="1"/>
  <c r="H547" i="1" s="1"/>
  <c r="F578" i="1"/>
  <c r="F547" i="1" s="1"/>
  <c r="F621" i="1"/>
  <c r="F638" i="1"/>
  <c r="E652" i="1"/>
  <c r="E598" i="1"/>
  <c r="F517" i="1"/>
  <c r="E505" i="1"/>
  <c r="F499" i="1"/>
  <c r="H522" i="1"/>
  <c r="E522" i="1"/>
  <c r="H544" i="1"/>
  <c r="H543" i="1" s="1"/>
  <c r="F544" i="1"/>
  <c r="F543" i="1" s="1"/>
  <c r="E544" i="1"/>
  <c r="E543" i="1" s="1"/>
  <c r="H542" i="1"/>
  <c r="F542" i="1"/>
  <c r="E542" i="1"/>
  <c r="H541" i="1"/>
  <c r="H540" i="1" s="1"/>
  <c r="F541" i="1"/>
  <c r="F540" i="1" s="1"/>
  <c r="E541" i="1"/>
  <c r="E540" i="1" s="1"/>
  <c r="H538" i="1"/>
  <c r="F538" i="1"/>
  <c r="E538" i="1"/>
  <c r="H537" i="1"/>
  <c r="F537" i="1"/>
  <c r="E537" i="1"/>
  <c r="H536" i="1"/>
  <c r="F536" i="1"/>
  <c r="E536" i="1"/>
  <c r="H495" i="1"/>
  <c r="F495" i="1"/>
  <c r="E495" i="1"/>
  <c r="H494" i="1"/>
  <c r="F494" i="1"/>
  <c r="E494" i="1"/>
  <c r="H493" i="1"/>
  <c r="F493" i="1"/>
  <c r="E493" i="1"/>
  <c r="H489" i="1"/>
  <c r="F489" i="1"/>
  <c r="E489" i="1"/>
  <c r="H488" i="1"/>
  <c r="F488" i="1"/>
  <c r="E488" i="1"/>
  <c r="H487" i="1"/>
  <c r="F487" i="1"/>
  <c r="E487" i="1"/>
  <c r="H486" i="1"/>
  <c r="F486" i="1"/>
  <c r="E486" i="1"/>
  <c r="H485" i="1"/>
  <c r="F485" i="1"/>
  <c r="E485" i="1"/>
  <c r="H483" i="1"/>
  <c r="F483" i="1"/>
  <c r="E483" i="1"/>
  <c r="H482" i="1"/>
  <c r="F482" i="1"/>
  <c r="E482" i="1"/>
  <c r="H481" i="1"/>
  <c r="F481" i="1"/>
  <c r="E481" i="1"/>
  <c r="H480" i="1"/>
  <c r="F480" i="1"/>
  <c r="E480" i="1"/>
  <c r="H479" i="1"/>
  <c r="F479" i="1"/>
  <c r="E479" i="1"/>
  <c r="H478" i="1"/>
  <c r="F478" i="1"/>
  <c r="E478" i="1"/>
  <c r="H477" i="1"/>
  <c r="F477" i="1"/>
  <c r="E477" i="1"/>
  <c r="H476" i="1"/>
  <c r="F476" i="1"/>
  <c r="E476" i="1"/>
  <c r="H475" i="1"/>
  <c r="F475" i="1"/>
  <c r="E475" i="1"/>
  <c r="H474" i="1"/>
  <c r="F474" i="1"/>
  <c r="E474" i="1"/>
  <c r="H473" i="1"/>
  <c r="F473" i="1"/>
  <c r="E473" i="1"/>
  <c r="H472" i="1"/>
  <c r="F472" i="1"/>
  <c r="E472" i="1"/>
  <c r="H470" i="1"/>
  <c r="F470" i="1"/>
  <c r="E470" i="1"/>
  <c r="H469" i="1"/>
  <c r="F469" i="1"/>
  <c r="E469" i="1"/>
  <c r="H467" i="1"/>
  <c r="H466" i="1" s="1"/>
  <c r="F467" i="1"/>
  <c r="F466" i="1" s="1"/>
  <c r="E467" i="1"/>
  <c r="E466" i="1" s="1"/>
  <c r="H464" i="1"/>
  <c r="F464" i="1"/>
  <c r="E464" i="1"/>
  <c r="H463" i="1"/>
  <c r="F463" i="1"/>
  <c r="E463" i="1"/>
  <c r="H462" i="1"/>
  <c r="F462" i="1"/>
  <c r="E462" i="1"/>
  <c r="H461" i="1"/>
  <c r="F461" i="1"/>
  <c r="E461" i="1"/>
  <c r="H460" i="1"/>
  <c r="F460" i="1"/>
  <c r="E460" i="1"/>
  <c r="H456" i="1"/>
  <c r="F456" i="1"/>
  <c r="E456" i="1"/>
  <c r="H455" i="1"/>
  <c r="H454" i="1" s="1"/>
  <c r="F455" i="1"/>
  <c r="F454" i="1" s="1"/>
  <c r="E455" i="1"/>
  <c r="E454" i="1"/>
  <c r="H453" i="1"/>
  <c r="H452" i="1" s="1"/>
  <c r="F453" i="1"/>
  <c r="F452" i="1" s="1"/>
  <c r="E453" i="1"/>
  <c r="E452" i="1" s="1"/>
  <c r="H450" i="1"/>
  <c r="F450" i="1"/>
  <c r="E450" i="1"/>
  <c r="H449" i="1"/>
  <c r="F449" i="1"/>
  <c r="E449" i="1"/>
  <c r="H448" i="1"/>
  <c r="F448" i="1"/>
  <c r="E448" i="1"/>
  <c r="H447" i="1"/>
  <c r="F447" i="1"/>
  <c r="E447" i="1"/>
  <c r="H446" i="1"/>
  <c r="F446" i="1"/>
  <c r="E446" i="1"/>
  <c r="H445" i="1"/>
  <c r="F445" i="1"/>
  <c r="E445" i="1"/>
  <c r="H442" i="1"/>
  <c r="H441" i="1" s="1"/>
  <c r="H440" i="1" s="1"/>
  <c r="F442" i="1"/>
  <c r="F441" i="1" s="1"/>
  <c r="F440" i="1" s="1"/>
  <c r="E442" i="1"/>
  <c r="E441" i="1" s="1"/>
  <c r="E440" i="1" s="1"/>
  <c r="H439" i="1"/>
  <c r="F439" i="1"/>
  <c r="E439" i="1"/>
  <c r="H438" i="1"/>
  <c r="F438" i="1"/>
  <c r="E438" i="1"/>
  <c r="H437" i="1"/>
  <c r="F437" i="1"/>
  <c r="E437" i="1"/>
  <c r="H436" i="1"/>
  <c r="F436" i="1"/>
  <c r="E436" i="1"/>
  <c r="H434" i="1"/>
  <c r="F434" i="1"/>
  <c r="E434" i="1"/>
  <c r="H433" i="1"/>
  <c r="F433" i="1"/>
  <c r="E433" i="1"/>
  <c r="H431" i="1"/>
  <c r="F431" i="1"/>
  <c r="E431" i="1"/>
  <c r="H430" i="1"/>
  <c r="F430" i="1"/>
  <c r="E430" i="1"/>
  <c r="H429" i="1"/>
  <c r="F429" i="1"/>
  <c r="E429" i="1"/>
  <c r="H428" i="1"/>
  <c r="F428" i="1"/>
  <c r="E428" i="1"/>
  <c r="H427" i="1"/>
  <c r="F427" i="1"/>
  <c r="E427" i="1"/>
  <c r="H426" i="1"/>
  <c r="F426" i="1"/>
  <c r="E426" i="1"/>
  <c r="H425" i="1"/>
  <c r="F425" i="1"/>
  <c r="E425" i="1"/>
  <c r="H421" i="1"/>
  <c r="F421" i="1"/>
  <c r="E421" i="1"/>
  <c r="H420" i="1"/>
  <c r="F420" i="1"/>
  <c r="E420" i="1"/>
  <c r="H419" i="1"/>
  <c r="F419" i="1"/>
  <c r="E419" i="1"/>
  <c r="H418" i="1"/>
  <c r="F418" i="1"/>
  <c r="E418" i="1"/>
  <c r="H417" i="1"/>
  <c r="F417" i="1"/>
  <c r="E417" i="1"/>
  <c r="H414" i="1"/>
  <c r="F414" i="1"/>
  <c r="E414" i="1"/>
  <c r="H413" i="1"/>
  <c r="F413" i="1"/>
  <c r="E413" i="1"/>
  <c r="H412" i="1"/>
  <c r="F412" i="1"/>
  <c r="E412" i="1"/>
  <c r="H411" i="1"/>
  <c r="F411" i="1"/>
  <c r="E411" i="1"/>
  <c r="H409" i="1"/>
  <c r="H408" i="1" s="1"/>
  <c r="H407" i="1" s="1"/>
  <c r="F409" i="1"/>
  <c r="F408" i="1" s="1"/>
  <c r="F407" i="1" s="1"/>
  <c r="E409" i="1"/>
  <c r="E408" i="1" s="1"/>
  <c r="E407" i="1" s="1"/>
  <c r="H406" i="1"/>
  <c r="H405" i="1" s="1"/>
  <c r="F406" i="1"/>
  <c r="F405" i="1" s="1"/>
  <c r="E406" i="1"/>
  <c r="E405" i="1" s="1"/>
  <c r="H404" i="1"/>
  <c r="H403" i="1" s="1"/>
  <c r="F404" i="1"/>
  <c r="F403" i="1" s="1"/>
  <c r="E404" i="1"/>
  <c r="E403" i="1" s="1"/>
  <c r="H402" i="1"/>
  <c r="F402" i="1"/>
  <c r="E402" i="1"/>
  <c r="H401" i="1"/>
  <c r="F401" i="1"/>
  <c r="E401" i="1"/>
  <c r="H400" i="1"/>
  <c r="F400" i="1"/>
  <c r="E400" i="1"/>
  <c r="H396" i="1"/>
  <c r="F396" i="1"/>
  <c r="E396" i="1"/>
  <c r="H395" i="1"/>
  <c r="F395" i="1"/>
  <c r="E395" i="1"/>
  <c r="H394" i="1"/>
  <c r="F394" i="1"/>
  <c r="E394" i="1"/>
  <c r="H393" i="1"/>
  <c r="F393" i="1"/>
  <c r="E393" i="1"/>
  <c r="H391" i="1"/>
  <c r="H390" i="1" s="1"/>
  <c r="F391" i="1"/>
  <c r="F390" i="1" s="1"/>
  <c r="E391" i="1"/>
  <c r="E390" i="1" s="1"/>
  <c r="H389" i="1"/>
  <c r="F389" i="1"/>
  <c r="E389" i="1"/>
  <c r="H388" i="1"/>
  <c r="F388" i="1"/>
  <c r="E388" i="1"/>
  <c r="H387" i="1"/>
  <c r="F387" i="1"/>
  <c r="E387" i="1"/>
  <c r="H386" i="1"/>
  <c r="F386" i="1"/>
  <c r="E386" i="1"/>
  <c r="H383" i="1"/>
  <c r="F383" i="1"/>
  <c r="E383" i="1"/>
  <c r="H382" i="1"/>
  <c r="F382" i="1"/>
  <c r="E382" i="1"/>
  <c r="H381" i="1"/>
  <c r="F381" i="1"/>
  <c r="E381" i="1"/>
  <c r="H380" i="1"/>
  <c r="F380" i="1"/>
  <c r="E380" i="1"/>
  <c r="H378" i="1"/>
  <c r="F378" i="1"/>
  <c r="E378" i="1"/>
  <c r="H377" i="1"/>
  <c r="F377" i="1"/>
  <c r="E377" i="1"/>
  <c r="H376" i="1"/>
  <c r="F376" i="1"/>
  <c r="E376" i="1"/>
  <c r="H375" i="1"/>
  <c r="F375" i="1"/>
  <c r="E375" i="1"/>
  <c r="H374" i="1"/>
  <c r="F374" i="1"/>
  <c r="E374" i="1"/>
  <c r="H373" i="1"/>
  <c r="F373" i="1"/>
  <c r="E373" i="1"/>
  <c r="H372" i="1"/>
  <c r="F372" i="1"/>
  <c r="E372" i="1"/>
  <c r="H371" i="1"/>
  <c r="F371" i="1"/>
  <c r="E371" i="1"/>
  <c r="H370" i="1"/>
  <c r="F370" i="1"/>
  <c r="E370" i="1"/>
  <c r="H369" i="1"/>
  <c r="F369" i="1"/>
  <c r="E369" i="1"/>
  <c r="H368" i="1"/>
  <c r="F368" i="1"/>
  <c r="E368" i="1"/>
  <c r="H367" i="1"/>
  <c r="F367" i="1"/>
  <c r="E367" i="1"/>
  <c r="H366" i="1"/>
  <c r="F366" i="1"/>
  <c r="E366" i="1"/>
  <c r="H365" i="1"/>
  <c r="F365" i="1"/>
  <c r="E365" i="1"/>
  <c r="H364" i="1"/>
  <c r="F364" i="1"/>
  <c r="E364" i="1"/>
  <c r="H363" i="1"/>
  <c r="F363" i="1"/>
  <c r="E363" i="1"/>
  <c r="H362" i="1"/>
  <c r="F362" i="1"/>
  <c r="E362" i="1"/>
  <c r="H361" i="1"/>
  <c r="F361" i="1"/>
  <c r="E361" i="1"/>
  <c r="H360" i="1"/>
  <c r="F360" i="1"/>
  <c r="E360" i="1"/>
  <c r="H358" i="1"/>
  <c r="F358" i="1"/>
  <c r="E358" i="1"/>
  <c r="H357" i="1"/>
  <c r="F357" i="1"/>
  <c r="E357" i="1"/>
  <c r="H354" i="1"/>
  <c r="F354" i="1"/>
  <c r="E354" i="1"/>
  <c r="H351" i="1"/>
  <c r="F351" i="1"/>
  <c r="E351" i="1"/>
  <c r="H350" i="1"/>
  <c r="F350" i="1"/>
  <c r="E350" i="1"/>
  <c r="H349" i="1"/>
  <c r="F349" i="1"/>
  <c r="E349" i="1"/>
  <c r="H348" i="1"/>
  <c r="F348" i="1"/>
  <c r="E348" i="1"/>
  <c r="H347" i="1"/>
  <c r="F347" i="1"/>
  <c r="E347" i="1"/>
  <c r="H344" i="1"/>
  <c r="F344" i="1"/>
  <c r="E344" i="1"/>
  <c r="H343" i="1"/>
  <c r="F343" i="1"/>
  <c r="E343" i="1"/>
  <c r="H342" i="1"/>
  <c r="F342" i="1"/>
  <c r="E342" i="1"/>
  <c r="H340" i="1"/>
  <c r="F340" i="1"/>
  <c r="E340" i="1"/>
  <c r="H338" i="1"/>
  <c r="F338" i="1"/>
  <c r="E338" i="1"/>
  <c r="H337" i="1"/>
  <c r="F337" i="1"/>
  <c r="E337" i="1"/>
  <c r="H336" i="1"/>
  <c r="F336" i="1"/>
  <c r="E336" i="1"/>
  <c r="H335" i="1"/>
  <c r="F335" i="1"/>
  <c r="E335" i="1"/>
  <c r="H334" i="1"/>
  <c r="F334" i="1"/>
  <c r="E334" i="1"/>
  <c r="H331" i="1"/>
  <c r="H330" i="1" s="1"/>
  <c r="H329" i="1" s="1"/>
  <c r="F331" i="1"/>
  <c r="F330" i="1" s="1"/>
  <c r="F329" i="1" s="1"/>
  <c r="E331" i="1"/>
  <c r="E330" i="1" s="1"/>
  <c r="E329" i="1" s="1"/>
  <c r="H327" i="1"/>
  <c r="H326" i="1" s="1"/>
  <c r="F327" i="1"/>
  <c r="F326" i="1" s="1"/>
  <c r="E327" i="1"/>
  <c r="E326" i="1" s="1"/>
  <c r="H325" i="1"/>
  <c r="H324" i="1" s="1"/>
  <c r="F325" i="1"/>
  <c r="F324" i="1" s="1"/>
  <c r="E325" i="1"/>
  <c r="E324" i="1" s="1"/>
  <c r="H323" i="1"/>
  <c r="F323" i="1"/>
  <c r="E323" i="1"/>
  <c r="H322" i="1"/>
  <c r="F322" i="1"/>
  <c r="E322" i="1"/>
  <c r="H318" i="1"/>
  <c r="H317" i="1" s="1"/>
  <c r="H316" i="1" s="1"/>
  <c r="F318" i="1"/>
  <c r="F317" i="1" s="1"/>
  <c r="E318" i="1"/>
  <c r="H315" i="1"/>
  <c r="F315" i="1"/>
  <c r="E315" i="1"/>
  <c r="H314" i="1"/>
  <c r="F314" i="1"/>
  <c r="E314" i="1"/>
  <c r="H313" i="1"/>
  <c r="F313" i="1"/>
  <c r="E313" i="1"/>
  <c r="H310" i="1"/>
  <c r="H309" i="1" s="1"/>
  <c r="F310" i="1"/>
  <c r="F309" i="1" s="1"/>
  <c r="E310" i="1"/>
  <c r="H308" i="1"/>
  <c r="F308" i="1"/>
  <c r="E308" i="1"/>
  <c r="H307" i="1"/>
  <c r="H306" i="1" s="1"/>
  <c r="F307" i="1"/>
  <c r="F306" i="1" s="1"/>
  <c r="E307" i="1"/>
  <c r="E306" i="1" s="1"/>
  <c r="H305" i="1"/>
  <c r="F305" i="1"/>
  <c r="E305" i="1"/>
  <c r="H302" i="1"/>
  <c r="F302" i="1"/>
  <c r="E302" i="1"/>
  <c r="H301" i="1"/>
  <c r="F301" i="1"/>
  <c r="E301" i="1"/>
  <c r="H300" i="1"/>
  <c r="H299" i="1" s="1"/>
  <c r="F300" i="1"/>
  <c r="F299" i="1" s="1"/>
  <c r="E300" i="1"/>
  <c r="H297" i="1"/>
  <c r="H296" i="1" s="1"/>
  <c r="H295" i="1" s="1"/>
  <c r="F297" i="1"/>
  <c r="F296" i="1" s="1"/>
  <c r="F295" i="1" s="1"/>
  <c r="E297" i="1"/>
  <c r="E296" i="1" s="1"/>
  <c r="E295" i="1" s="1"/>
  <c r="H293" i="1"/>
  <c r="F293" i="1"/>
  <c r="E293" i="1"/>
  <c r="H292" i="1"/>
  <c r="F292" i="1"/>
  <c r="E292" i="1"/>
  <c r="H291" i="1"/>
  <c r="H290" i="1" s="1"/>
  <c r="F291" i="1"/>
  <c r="F290" i="1" s="1"/>
  <c r="E291" i="1"/>
  <c r="E290" i="1" s="1"/>
  <c r="H289" i="1"/>
  <c r="F289" i="1"/>
  <c r="E289" i="1"/>
  <c r="H288" i="1"/>
  <c r="F288" i="1"/>
  <c r="E288" i="1"/>
  <c r="H287" i="1"/>
  <c r="F287" i="1"/>
  <c r="E287" i="1"/>
  <c r="H286" i="1"/>
  <c r="F286" i="1"/>
  <c r="E286" i="1"/>
  <c r="H285" i="1"/>
  <c r="F285" i="1"/>
  <c r="E285" i="1"/>
  <c r="H284" i="1"/>
  <c r="F284" i="1"/>
  <c r="E284" i="1"/>
  <c r="H283" i="1"/>
  <c r="F283" i="1"/>
  <c r="E283" i="1"/>
  <c r="H282" i="1"/>
  <c r="F282" i="1"/>
  <c r="E282" i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5" i="1"/>
  <c r="F275" i="1"/>
  <c r="E275" i="1"/>
  <c r="H274" i="1"/>
  <c r="F274" i="1"/>
  <c r="E274" i="1"/>
  <c r="H273" i="1"/>
  <c r="H272" i="1" s="1"/>
  <c r="F273" i="1"/>
  <c r="F272" i="1" s="1"/>
  <c r="E273" i="1"/>
  <c r="E272" i="1" s="1"/>
  <c r="H271" i="1"/>
  <c r="F271" i="1"/>
  <c r="E271" i="1"/>
  <c r="H268" i="1"/>
  <c r="F268" i="1"/>
  <c r="E268" i="1"/>
  <c r="H267" i="1"/>
  <c r="F267" i="1"/>
  <c r="E267" i="1"/>
  <c r="H266" i="1"/>
  <c r="F266" i="1"/>
  <c r="E266" i="1"/>
  <c r="H262" i="1"/>
  <c r="F262" i="1"/>
  <c r="E262" i="1"/>
  <c r="H261" i="1"/>
  <c r="F261" i="1"/>
  <c r="E261" i="1"/>
  <c r="H260" i="1"/>
  <c r="H259" i="1" s="1"/>
  <c r="F260" i="1"/>
  <c r="F259" i="1" s="1"/>
  <c r="E260" i="1"/>
  <c r="E259" i="1" s="1"/>
  <c r="H257" i="1"/>
  <c r="F257" i="1"/>
  <c r="E257" i="1"/>
  <c r="H256" i="1"/>
  <c r="F256" i="1"/>
  <c r="E256" i="1"/>
  <c r="H254" i="1"/>
  <c r="F254" i="1"/>
  <c r="E254" i="1"/>
  <c r="H253" i="1"/>
  <c r="F253" i="1"/>
  <c r="E253" i="1"/>
  <c r="H252" i="1"/>
  <c r="F252" i="1"/>
  <c r="E252" i="1"/>
  <c r="H250" i="1"/>
  <c r="F250" i="1"/>
  <c r="E250" i="1"/>
  <c r="H249" i="1"/>
  <c r="F249" i="1"/>
  <c r="E249" i="1"/>
  <c r="H248" i="1"/>
  <c r="F248" i="1"/>
  <c r="E248" i="1"/>
  <c r="H247" i="1"/>
  <c r="H246" i="1" s="1"/>
  <c r="F247" i="1"/>
  <c r="F246" i="1" s="1"/>
  <c r="E247" i="1"/>
  <c r="E246" i="1" s="1"/>
  <c r="H245" i="1"/>
  <c r="F245" i="1"/>
  <c r="E245" i="1"/>
  <c r="H244" i="1"/>
  <c r="F244" i="1"/>
  <c r="E244" i="1"/>
  <c r="H243" i="1"/>
  <c r="F243" i="1"/>
  <c r="E243" i="1"/>
  <c r="H242" i="1"/>
  <c r="F242" i="1"/>
  <c r="E242" i="1"/>
  <c r="H239" i="1"/>
  <c r="H238" i="1" s="1"/>
  <c r="F239" i="1"/>
  <c r="F238" i="1" s="1"/>
  <c r="E239" i="1"/>
  <c r="E238" i="1" s="1"/>
  <c r="H237" i="1"/>
  <c r="F237" i="1"/>
  <c r="E237" i="1"/>
  <c r="H236" i="1"/>
  <c r="F236" i="1"/>
  <c r="E236" i="1"/>
  <c r="H235" i="1"/>
  <c r="F235" i="1"/>
  <c r="E235" i="1"/>
  <c r="H234" i="1"/>
  <c r="F234" i="1"/>
  <c r="E234" i="1"/>
  <c r="H232" i="1"/>
  <c r="F232" i="1"/>
  <c r="E232" i="1"/>
  <c r="H231" i="1"/>
  <c r="F231" i="1"/>
  <c r="E231" i="1"/>
  <c r="H229" i="1"/>
  <c r="F229" i="1"/>
  <c r="E229" i="1"/>
  <c r="H228" i="1"/>
  <c r="H227" i="1" s="1"/>
  <c r="F228" i="1"/>
  <c r="F227" i="1" s="1"/>
  <c r="E228" i="1"/>
  <c r="E227" i="1" s="1"/>
  <c r="H226" i="1"/>
  <c r="F226" i="1"/>
  <c r="E226" i="1"/>
  <c r="H225" i="1"/>
  <c r="F225" i="1"/>
  <c r="E225" i="1"/>
  <c r="H224" i="1"/>
  <c r="F224" i="1"/>
  <c r="E224" i="1"/>
  <c r="H223" i="1"/>
  <c r="F223" i="1"/>
  <c r="E223" i="1"/>
  <c r="H221" i="1"/>
  <c r="F221" i="1"/>
  <c r="E221" i="1"/>
  <c r="H220" i="1"/>
  <c r="F220" i="1"/>
  <c r="E220" i="1"/>
  <c r="H219" i="1"/>
  <c r="F219" i="1"/>
  <c r="E219" i="1"/>
  <c r="H218" i="1"/>
  <c r="F218" i="1"/>
  <c r="E218" i="1"/>
  <c r="H216" i="1"/>
  <c r="F216" i="1"/>
  <c r="E216" i="1"/>
  <c r="H215" i="1"/>
  <c r="F215" i="1"/>
  <c r="E215" i="1"/>
  <c r="H214" i="1"/>
  <c r="F214" i="1"/>
  <c r="E214" i="1"/>
  <c r="H213" i="1"/>
  <c r="F213" i="1"/>
  <c r="E213" i="1"/>
  <c r="H212" i="1"/>
  <c r="F212" i="1"/>
  <c r="E212" i="1"/>
  <c r="H210" i="1"/>
  <c r="F210" i="1"/>
  <c r="E210" i="1"/>
  <c r="H209" i="1"/>
  <c r="F209" i="1"/>
  <c r="E209" i="1"/>
  <c r="H205" i="1"/>
  <c r="H204" i="1" s="1"/>
  <c r="H203" i="1" s="1"/>
  <c r="F205" i="1"/>
  <c r="F204" i="1" s="1"/>
  <c r="F203" i="1" s="1"/>
  <c r="E205" i="1"/>
  <c r="E204" i="1" s="1"/>
  <c r="E203" i="1" s="1"/>
  <c r="H202" i="1"/>
  <c r="H201" i="1" s="1"/>
  <c r="F202" i="1"/>
  <c r="F201" i="1" s="1"/>
  <c r="E202" i="1"/>
  <c r="E201" i="1" s="1"/>
  <c r="H200" i="1"/>
  <c r="F200" i="1"/>
  <c r="E200" i="1"/>
  <c r="H198" i="1"/>
  <c r="F198" i="1"/>
  <c r="E198" i="1"/>
  <c r="H197" i="1"/>
  <c r="F197" i="1"/>
  <c r="E197" i="1"/>
  <c r="H196" i="1"/>
  <c r="F196" i="1"/>
  <c r="E196" i="1"/>
  <c r="H195" i="1"/>
  <c r="F195" i="1"/>
  <c r="E195" i="1"/>
  <c r="H194" i="1"/>
  <c r="F194" i="1"/>
  <c r="E194" i="1"/>
  <c r="H191" i="1"/>
  <c r="F191" i="1"/>
  <c r="E191" i="1"/>
  <c r="H190" i="1"/>
  <c r="H189" i="1" s="1"/>
  <c r="F190" i="1"/>
  <c r="F189" i="1" s="1"/>
  <c r="E190" i="1"/>
  <c r="E189" i="1" s="1"/>
  <c r="H188" i="1"/>
  <c r="H187" i="1" s="1"/>
  <c r="F188" i="1"/>
  <c r="F187" i="1" s="1"/>
  <c r="E188" i="1"/>
  <c r="E187" i="1" s="1"/>
  <c r="H183" i="1"/>
  <c r="H182" i="1" s="1"/>
  <c r="H181" i="1" s="1"/>
  <c r="F183" i="1"/>
  <c r="F182" i="1" s="1"/>
  <c r="F181" i="1" s="1"/>
  <c r="E183" i="1"/>
  <c r="E182" i="1" s="1"/>
  <c r="E181" i="1" s="1"/>
  <c r="H180" i="1"/>
  <c r="H179" i="1" s="1"/>
  <c r="H178" i="1" s="1"/>
  <c r="F180" i="1"/>
  <c r="F179" i="1" s="1"/>
  <c r="F178" i="1" s="1"/>
  <c r="E180" i="1"/>
  <c r="E179" i="1" s="1"/>
  <c r="E178" i="1" s="1"/>
  <c r="H176" i="1"/>
  <c r="F176" i="1"/>
  <c r="E176" i="1"/>
  <c r="H175" i="1"/>
  <c r="F175" i="1"/>
  <c r="E175" i="1"/>
  <c r="F546" i="1" l="1"/>
  <c r="H497" i="1"/>
  <c r="E612" i="1"/>
  <c r="E611" i="1" s="1"/>
  <c r="E535" i="1"/>
  <c r="F497" i="1"/>
  <c r="E651" i="1"/>
  <c r="H546" i="1"/>
  <c r="E492" i="1"/>
  <c r="E491" i="1" s="1"/>
  <c r="E490" i="1" s="1"/>
  <c r="E547" i="1"/>
  <c r="E546" i="1" s="1"/>
  <c r="H612" i="1"/>
  <c r="H611" i="1" s="1"/>
  <c r="F612" i="1"/>
  <c r="F611" i="1" s="1"/>
  <c r="F662" i="1" s="1"/>
  <c r="H662" i="1"/>
  <c r="E497" i="1"/>
  <c r="F651" i="1"/>
  <c r="E508" i="1"/>
  <c r="E662" i="1"/>
  <c r="H651" i="1"/>
  <c r="E432" i="1"/>
  <c r="H444" i="1"/>
  <c r="H443" i="1" s="1"/>
  <c r="F459" i="1"/>
  <c r="F458" i="1" s="1"/>
  <c r="H484" i="1"/>
  <c r="H508" i="1"/>
  <c r="H534" i="1" s="1"/>
  <c r="F539" i="1"/>
  <c r="F508" i="1"/>
  <c r="F534" i="1" s="1"/>
  <c r="F535" i="1"/>
  <c r="H535" i="1"/>
  <c r="H539" i="1"/>
  <c r="F492" i="1"/>
  <c r="F491" i="1" s="1"/>
  <c r="F490" i="1" s="1"/>
  <c r="H492" i="1"/>
  <c r="H491" i="1" s="1"/>
  <c r="H490" i="1" s="1"/>
  <c r="E539" i="1"/>
  <c r="H471" i="1"/>
  <c r="E459" i="1"/>
  <c r="E458" i="1" s="1"/>
  <c r="E471" i="1"/>
  <c r="E435" i="1"/>
  <c r="F435" i="1"/>
  <c r="H435" i="1"/>
  <c r="H459" i="1"/>
  <c r="H458" i="1" s="1"/>
  <c r="E484" i="1"/>
  <c r="F484" i="1"/>
  <c r="E424" i="1"/>
  <c r="F444" i="1"/>
  <c r="F443" i="1" s="1"/>
  <c r="H451" i="1"/>
  <c r="F471" i="1"/>
  <c r="F199" i="1"/>
  <c r="H399" i="1"/>
  <c r="H398" i="1" s="1"/>
  <c r="H416" i="1"/>
  <c r="H415" i="1" s="1"/>
  <c r="F424" i="1"/>
  <c r="H424" i="1"/>
  <c r="E444" i="1"/>
  <c r="E443" i="1" s="1"/>
  <c r="E451" i="1"/>
  <c r="F385" i="1"/>
  <c r="F384" i="1" s="1"/>
  <c r="E392" i="1"/>
  <c r="F392" i="1"/>
  <c r="E410" i="1"/>
  <c r="F410" i="1"/>
  <c r="F451" i="1"/>
  <c r="F399" i="1"/>
  <c r="F398" i="1" s="1"/>
  <c r="F432" i="1"/>
  <c r="H432" i="1"/>
  <c r="E341" i="1"/>
  <c r="E339" i="1" s="1"/>
  <c r="H346" i="1"/>
  <c r="H345" i="1" s="1"/>
  <c r="H385" i="1"/>
  <c r="H384" i="1" s="1"/>
  <c r="E385" i="1"/>
  <c r="E384" i="1" s="1"/>
  <c r="E416" i="1"/>
  <c r="E415" i="1" s="1"/>
  <c r="F416" i="1"/>
  <c r="F415" i="1" s="1"/>
  <c r="E346" i="1"/>
  <c r="E345" i="1" s="1"/>
  <c r="E359" i="1"/>
  <c r="E356" i="1" s="1"/>
  <c r="E355" i="1" s="1"/>
  <c r="E353" i="1" s="1"/>
  <c r="H359" i="1"/>
  <c r="H356" i="1" s="1"/>
  <c r="H355" i="1" s="1"/>
  <c r="H353" i="1" s="1"/>
  <c r="E399" i="1"/>
  <c r="E398" i="1" s="1"/>
  <c r="H410" i="1"/>
  <c r="F346" i="1"/>
  <c r="F345" i="1" s="1"/>
  <c r="E312" i="1"/>
  <c r="E321" i="1"/>
  <c r="E320" i="1" s="1"/>
  <c r="E319" i="1" s="1"/>
  <c r="F321" i="1"/>
  <c r="F320" i="1" s="1"/>
  <c r="E333" i="1"/>
  <c r="E332" i="1" s="1"/>
  <c r="H341" i="1"/>
  <c r="H339" i="1" s="1"/>
  <c r="F359" i="1"/>
  <c r="F356" i="1" s="1"/>
  <c r="E379" i="1"/>
  <c r="E265" i="1"/>
  <c r="E264" i="1" s="1"/>
  <c r="E263" i="1" s="1"/>
  <c r="F333" i="1"/>
  <c r="F332" i="1" s="1"/>
  <c r="F379" i="1"/>
  <c r="H379" i="1"/>
  <c r="H392" i="1"/>
  <c r="H321" i="1"/>
  <c r="H320" i="1" s="1"/>
  <c r="H319" i="1" s="1"/>
  <c r="H174" i="1"/>
  <c r="H173" i="1" s="1"/>
  <c r="H312" i="1"/>
  <c r="H333" i="1"/>
  <c r="H332" i="1" s="1"/>
  <c r="H184" i="1"/>
  <c r="E258" i="1"/>
  <c r="F341" i="1"/>
  <c r="F184" i="1"/>
  <c r="F230" i="1"/>
  <c r="H230" i="1"/>
  <c r="E255" i="1"/>
  <c r="F258" i="1"/>
  <c r="F304" i="1"/>
  <c r="F303" i="1" s="1"/>
  <c r="F312" i="1"/>
  <c r="E317" i="1"/>
  <c r="E316" i="1" s="1"/>
  <c r="H222" i="1"/>
  <c r="E230" i="1"/>
  <c r="H255" i="1"/>
  <c r="H265" i="1"/>
  <c r="H264" i="1" s="1"/>
  <c r="H263" i="1" s="1"/>
  <c r="E276" i="1"/>
  <c r="E299" i="1"/>
  <c r="F316" i="1"/>
  <c r="E217" i="1"/>
  <c r="F217" i="1"/>
  <c r="E222" i="1"/>
  <c r="H233" i="1"/>
  <c r="E233" i="1"/>
  <c r="E251" i="1"/>
  <c r="E211" i="1"/>
  <c r="E208" i="1" s="1"/>
  <c r="F211" i="1"/>
  <c r="F208" i="1" s="1"/>
  <c r="H276" i="1"/>
  <c r="H270" i="1" s="1"/>
  <c r="H269" i="1" s="1"/>
  <c r="E309" i="1"/>
  <c r="E184" i="1"/>
  <c r="E193" i="1"/>
  <c r="E192" i="1" s="1"/>
  <c r="F233" i="1"/>
  <c r="H251" i="1"/>
  <c r="F298" i="1"/>
  <c r="E186" i="1"/>
  <c r="H193" i="1"/>
  <c r="H192" i="1" s="1"/>
  <c r="F255" i="1"/>
  <c r="H258" i="1"/>
  <c r="F276" i="1"/>
  <c r="F270" i="1" s="1"/>
  <c r="F269" i="1" s="1"/>
  <c r="E304" i="1"/>
  <c r="F222" i="1"/>
  <c r="H211" i="1"/>
  <c r="H208" i="1" s="1"/>
  <c r="H217" i="1"/>
  <c r="F265" i="1"/>
  <c r="F264" i="1" s="1"/>
  <c r="F263" i="1" s="1"/>
  <c r="H298" i="1"/>
  <c r="H294" i="1" s="1"/>
  <c r="F251" i="1"/>
  <c r="H304" i="1"/>
  <c r="H303" i="1" s="1"/>
  <c r="E174" i="1"/>
  <c r="E173" i="1" s="1"/>
  <c r="F174" i="1"/>
  <c r="F173" i="1" s="1"/>
  <c r="H186" i="1"/>
  <c r="E199" i="1"/>
  <c r="F186" i="1"/>
  <c r="F193" i="1"/>
  <c r="H199" i="1"/>
  <c r="H172" i="1"/>
  <c r="H171" i="1" s="1"/>
  <c r="F172" i="1"/>
  <c r="F171" i="1" s="1"/>
  <c r="E172" i="1"/>
  <c r="E171" i="1" s="1"/>
  <c r="H170" i="1"/>
  <c r="H169" i="1" s="1"/>
  <c r="F170" i="1"/>
  <c r="F169" i="1" s="1"/>
  <c r="E170" i="1"/>
  <c r="E169" i="1" s="1"/>
  <c r="H167" i="1"/>
  <c r="F167" i="1"/>
  <c r="E167" i="1"/>
  <c r="H166" i="1"/>
  <c r="F166" i="1"/>
  <c r="E166" i="1"/>
  <c r="H164" i="1"/>
  <c r="F164" i="1"/>
  <c r="E164" i="1"/>
  <c r="H163" i="1"/>
  <c r="F163" i="1"/>
  <c r="E163" i="1"/>
  <c r="H162" i="1"/>
  <c r="F162" i="1"/>
  <c r="E162" i="1"/>
  <c r="H158" i="1"/>
  <c r="F158" i="1"/>
  <c r="E158" i="1"/>
  <c r="H157" i="1"/>
  <c r="F157" i="1"/>
  <c r="E157" i="1"/>
  <c r="H155" i="1"/>
  <c r="H154" i="1" s="1"/>
  <c r="F155" i="1"/>
  <c r="F154" i="1" s="1"/>
  <c r="E155" i="1"/>
  <c r="E154" i="1" s="1"/>
  <c r="H153" i="1"/>
  <c r="H152" i="1" s="1"/>
  <c r="H151" i="1" s="1"/>
  <c r="F153" i="1"/>
  <c r="F152" i="1" s="1"/>
  <c r="E153" i="1"/>
  <c r="E152" i="1" s="1"/>
  <c r="E151" i="1" s="1"/>
  <c r="H150" i="1"/>
  <c r="F150" i="1"/>
  <c r="E150" i="1"/>
  <c r="H149" i="1"/>
  <c r="F149" i="1"/>
  <c r="E149" i="1"/>
  <c r="H148" i="1"/>
  <c r="F148" i="1"/>
  <c r="E148" i="1"/>
  <c r="H147" i="1"/>
  <c r="F147" i="1"/>
  <c r="E147" i="1"/>
  <c r="H146" i="1"/>
  <c r="F146" i="1"/>
  <c r="E146" i="1"/>
  <c r="H145" i="1"/>
  <c r="F145" i="1"/>
  <c r="E145" i="1"/>
  <c r="H144" i="1"/>
  <c r="F144" i="1"/>
  <c r="E144" i="1"/>
  <c r="H143" i="1"/>
  <c r="F143" i="1"/>
  <c r="E143" i="1"/>
  <c r="H142" i="1"/>
  <c r="F142" i="1"/>
  <c r="E142" i="1"/>
  <c r="H138" i="1"/>
  <c r="F138" i="1"/>
  <c r="E138" i="1"/>
  <c r="H137" i="1"/>
  <c r="F137" i="1"/>
  <c r="E137" i="1"/>
  <c r="H134" i="1"/>
  <c r="F134" i="1"/>
  <c r="E134" i="1"/>
  <c r="H133" i="1"/>
  <c r="H132" i="1" s="1"/>
  <c r="F133" i="1"/>
  <c r="F132" i="1" s="1"/>
  <c r="E133" i="1"/>
  <c r="E132" i="1" s="1"/>
  <c r="H131" i="1"/>
  <c r="F131" i="1"/>
  <c r="E131" i="1"/>
  <c r="H130" i="1"/>
  <c r="F130" i="1"/>
  <c r="E130" i="1"/>
  <c r="H129" i="1"/>
  <c r="F129" i="1"/>
  <c r="E129" i="1"/>
  <c r="H126" i="1"/>
  <c r="H125" i="1" s="1"/>
  <c r="F126" i="1"/>
  <c r="F125" i="1" s="1"/>
  <c r="E126" i="1"/>
  <c r="E125" i="1" s="1"/>
  <c r="H124" i="1"/>
  <c r="F124" i="1"/>
  <c r="E124" i="1"/>
  <c r="H123" i="1"/>
  <c r="F123" i="1"/>
  <c r="E123" i="1"/>
  <c r="H119" i="1"/>
  <c r="F119" i="1"/>
  <c r="E119" i="1"/>
  <c r="H118" i="1"/>
  <c r="F118" i="1"/>
  <c r="E118" i="1"/>
  <c r="H117" i="1"/>
  <c r="F117" i="1"/>
  <c r="E117" i="1"/>
  <c r="H114" i="1"/>
  <c r="H113" i="1" s="1"/>
  <c r="F114" i="1"/>
  <c r="F113" i="1" s="1"/>
  <c r="E114" i="1"/>
  <c r="E113" i="1" s="1"/>
  <c r="H112" i="1"/>
  <c r="F112" i="1"/>
  <c r="E112" i="1"/>
  <c r="H111" i="1"/>
  <c r="F111" i="1"/>
  <c r="E111" i="1"/>
  <c r="H110" i="1"/>
  <c r="F110" i="1"/>
  <c r="E110" i="1"/>
  <c r="H109" i="1"/>
  <c r="F109" i="1"/>
  <c r="E109" i="1"/>
  <c r="H108" i="1"/>
  <c r="H107" i="1" s="1"/>
  <c r="F108" i="1"/>
  <c r="F107" i="1" s="1"/>
  <c r="E108" i="1"/>
  <c r="E107" i="1" s="1"/>
  <c r="H106" i="1"/>
  <c r="F106" i="1"/>
  <c r="E106" i="1"/>
  <c r="H105" i="1"/>
  <c r="F105" i="1"/>
  <c r="E105" i="1"/>
  <c r="H103" i="1"/>
  <c r="F103" i="1"/>
  <c r="E103" i="1"/>
  <c r="H102" i="1"/>
  <c r="F102" i="1"/>
  <c r="E102" i="1"/>
  <c r="H101" i="1"/>
  <c r="F101" i="1"/>
  <c r="E101" i="1"/>
  <c r="H100" i="1"/>
  <c r="F100" i="1"/>
  <c r="E100" i="1"/>
  <c r="H98" i="1"/>
  <c r="F98" i="1"/>
  <c r="E98" i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F87" i="1"/>
  <c r="E87" i="1"/>
  <c r="H86" i="1"/>
  <c r="F86" i="1"/>
  <c r="E86" i="1"/>
  <c r="H84" i="1"/>
  <c r="F84" i="1"/>
  <c r="E84" i="1"/>
  <c r="H83" i="1"/>
  <c r="F83" i="1"/>
  <c r="E83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3" i="1"/>
  <c r="F73" i="1"/>
  <c r="E73" i="1"/>
  <c r="H70" i="1"/>
  <c r="F70" i="1"/>
  <c r="E70" i="1"/>
  <c r="H69" i="1"/>
  <c r="F69" i="1"/>
  <c r="E69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8" i="1"/>
  <c r="F58" i="1"/>
  <c r="E58" i="1"/>
  <c r="H57" i="1"/>
  <c r="F57" i="1"/>
  <c r="E57" i="1"/>
  <c r="H56" i="1"/>
  <c r="F56" i="1"/>
  <c r="E56" i="1"/>
  <c r="H26" i="1"/>
  <c r="F26" i="1"/>
  <c r="E26" i="1"/>
  <c r="H52" i="1"/>
  <c r="H51" i="1" s="1"/>
  <c r="F52" i="1"/>
  <c r="F51" i="1" s="1"/>
  <c r="E52" i="1"/>
  <c r="E51" i="1" s="1"/>
  <c r="H50" i="1"/>
  <c r="H49" i="1" s="1"/>
  <c r="H48" i="1" s="1"/>
  <c r="F50" i="1"/>
  <c r="F49" i="1" s="1"/>
  <c r="F48" i="1" s="1"/>
  <c r="E50" i="1"/>
  <c r="E49" i="1" s="1"/>
  <c r="E48" i="1" s="1"/>
  <c r="H47" i="1"/>
  <c r="H46" i="1" s="1"/>
  <c r="F47" i="1"/>
  <c r="F46" i="1" s="1"/>
  <c r="E47" i="1"/>
  <c r="E46" i="1" s="1"/>
  <c r="H45" i="1"/>
  <c r="F45" i="1"/>
  <c r="E45" i="1"/>
  <c r="H43" i="1"/>
  <c r="F43" i="1"/>
  <c r="E43" i="1"/>
  <c r="H42" i="1"/>
  <c r="F42" i="1"/>
  <c r="E42" i="1"/>
  <c r="H41" i="1"/>
  <c r="F41" i="1"/>
  <c r="E41" i="1"/>
  <c r="H40" i="1"/>
  <c r="F40" i="1"/>
  <c r="E40" i="1"/>
  <c r="H39" i="1"/>
  <c r="F39" i="1"/>
  <c r="E39" i="1"/>
  <c r="H35" i="1"/>
  <c r="H34" i="1" s="1"/>
  <c r="F35" i="1"/>
  <c r="F34" i="1" s="1"/>
  <c r="E35" i="1"/>
  <c r="E34" i="1" s="1"/>
  <c r="H33" i="1"/>
  <c r="F33" i="1"/>
  <c r="E33" i="1"/>
  <c r="H32" i="1"/>
  <c r="F32" i="1"/>
  <c r="E32" i="1"/>
  <c r="H31" i="1"/>
  <c r="F31" i="1"/>
  <c r="E31" i="1"/>
  <c r="H28" i="1"/>
  <c r="F28" i="1"/>
  <c r="E28" i="1"/>
  <c r="H27" i="1"/>
  <c r="F27" i="1"/>
  <c r="E27" i="1"/>
  <c r="H25" i="1"/>
  <c r="F25" i="1"/>
  <c r="E25" i="1"/>
  <c r="H24" i="1"/>
  <c r="F24" i="1"/>
  <c r="E24" i="1"/>
  <c r="H23" i="1"/>
  <c r="F23" i="1"/>
  <c r="E23" i="1"/>
  <c r="H22" i="1"/>
  <c r="F22" i="1"/>
  <c r="E22" i="1"/>
  <c r="H18" i="1"/>
  <c r="F18" i="1"/>
  <c r="E18" i="1"/>
  <c r="H17" i="1"/>
  <c r="F17" i="1"/>
  <c r="E17" i="1"/>
  <c r="H16" i="1"/>
  <c r="F16" i="1"/>
  <c r="E16" i="1"/>
  <c r="H15" i="1"/>
  <c r="F15" i="1"/>
  <c r="E15" i="1"/>
  <c r="H10" i="1"/>
  <c r="F10" i="1"/>
  <c r="E10" i="1"/>
  <c r="H9" i="1"/>
  <c r="F9" i="1"/>
  <c r="E9" i="1"/>
  <c r="H6" i="1"/>
  <c r="H5" i="1" s="1"/>
  <c r="F6" i="1"/>
  <c r="F5" i="1" s="1"/>
  <c r="E6" i="1"/>
  <c r="E5" i="1" s="1"/>
  <c r="E545" i="1" l="1"/>
  <c r="H468" i="1"/>
  <c r="H465" i="1" s="1"/>
  <c r="H496" i="1" s="1"/>
  <c r="E534" i="1"/>
  <c r="F545" i="1"/>
  <c r="E168" i="1"/>
  <c r="F468" i="1"/>
  <c r="F465" i="1" s="1"/>
  <c r="F496" i="1" s="1"/>
  <c r="H545" i="1"/>
  <c r="H423" i="1"/>
  <c r="E468" i="1"/>
  <c r="E465" i="1" s="1"/>
  <c r="E496" i="1" s="1"/>
  <c r="H397" i="1"/>
  <c r="E423" i="1"/>
  <c r="E457" i="1" s="1"/>
  <c r="E422" i="1"/>
  <c r="F423" i="1"/>
  <c r="H241" i="1"/>
  <c r="H422" i="1"/>
  <c r="H457" i="1"/>
  <c r="F422" i="1"/>
  <c r="H328" i="1"/>
  <c r="H352" i="1"/>
  <c r="E165" i="1"/>
  <c r="E241" i="1"/>
  <c r="E240" i="1" s="1"/>
  <c r="E352" i="1"/>
  <c r="E397" i="1"/>
  <c r="F355" i="1"/>
  <c r="E270" i="1"/>
  <c r="E269" i="1" s="1"/>
  <c r="E298" i="1"/>
  <c r="E294" i="1" s="1"/>
  <c r="E328" i="1"/>
  <c r="F241" i="1"/>
  <c r="H240" i="1"/>
  <c r="F339" i="1"/>
  <c r="E207" i="1"/>
  <c r="F319" i="1"/>
  <c r="F207" i="1"/>
  <c r="E185" i="1"/>
  <c r="E206" i="1" s="1"/>
  <c r="E116" i="1"/>
  <c r="E115" i="1" s="1"/>
  <c r="H128" i="1"/>
  <c r="H127" i="1" s="1"/>
  <c r="E128" i="1"/>
  <c r="E127" i="1" s="1"/>
  <c r="H185" i="1"/>
  <c r="H206" i="1" s="1"/>
  <c r="F294" i="1"/>
  <c r="H207" i="1"/>
  <c r="E303" i="1"/>
  <c r="F156" i="1"/>
  <c r="H161" i="1"/>
  <c r="F165" i="1"/>
  <c r="F192" i="1"/>
  <c r="E85" i="1"/>
  <c r="H122" i="1"/>
  <c r="H141" i="1"/>
  <c r="H140" i="1" s="1"/>
  <c r="H139" i="1" s="1"/>
  <c r="E156" i="1"/>
  <c r="F161" i="1"/>
  <c r="F122" i="1"/>
  <c r="F8" i="1"/>
  <c r="F7" i="1" s="1"/>
  <c r="F11" i="1" s="1"/>
  <c r="F68" i="1"/>
  <c r="H116" i="1"/>
  <c r="H115" i="1" s="1"/>
  <c r="H136" i="1"/>
  <c r="H135" i="1" s="1"/>
  <c r="E55" i="1"/>
  <c r="H68" i="1"/>
  <c r="E72" i="1"/>
  <c r="E122" i="1"/>
  <c r="F136" i="1"/>
  <c r="F135" i="1" s="1"/>
  <c r="F141" i="1"/>
  <c r="F140" i="1" s="1"/>
  <c r="E161" i="1"/>
  <c r="H165" i="1"/>
  <c r="F116" i="1"/>
  <c r="H156" i="1"/>
  <c r="F55" i="1"/>
  <c r="E59" i="1"/>
  <c r="F128" i="1"/>
  <c r="F127" i="1" s="1"/>
  <c r="E136" i="1"/>
  <c r="E135" i="1" s="1"/>
  <c r="H168" i="1"/>
  <c r="F168" i="1"/>
  <c r="F151" i="1"/>
  <c r="E141" i="1"/>
  <c r="E140" i="1" s="1"/>
  <c r="E139" i="1" s="1"/>
  <c r="F104" i="1"/>
  <c r="H99" i="1"/>
  <c r="H21" i="1"/>
  <c r="H20" i="1" s="1"/>
  <c r="H19" i="1" s="1"/>
  <c r="E38" i="1"/>
  <c r="E37" i="1" s="1"/>
  <c r="E36" i="1" s="1"/>
  <c r="F44" i="1"/>
  <c r="F59" i="1"/>
  <c r="E68" i="1"/>
  <c r="H72" i="1"/>
  <c r="E99" i="1"/>
  <c r="F99" i="1"/>
  <c r="E104" i="1"/>
  <c r="E30" i="1"/>
  <c r="E29" i="1" s="1"/>
  <c r="E44" i="1"/>
  <c r="H55" i="1"/>
  <c r="F72" i="1"/>
  <c r="H30" i="1"/>
  <c r="H29" i="1" s="1"/>
  <c r="H59" i="1"/>
  <c r="H85" i="1"/>
  <c r="H104" i="1"/>
  <c r="F85" i="1"/>
  <c r="H8" i="1"/>
  <c r="H7" i="1" s="1"/>
  <c r="H11" i="1" s="1"/>
  <c r="H14" i="1"/>
  <c r="H13" i="1" s="1"/>
  <c r="H12" i="1" s="1"/>
  <c r="F21" i="1"/>
  <c r="F38" i="1"/>
  <c r="H38" i="1"/>
  <c r="H37" i="1" s="1"/>
  <c r="H36" i="1" s="1"/>
  <c r="H44" i="1"/>
  <c r="F30" i="1"/>
  <c r="E8" i="1"/>
  <c r="E7" i="1" s="1"/>
  <c r="E11" i="1" s="1"/>
  <c r="E14" i="1"/>
  <c r="E13" i="1" s="1"/>
  <c r="E12" i="1" s="1"/>
  <c r="F14" i="1"/>
  <c r="E21" i="1"/>
  <c r="E20" i="1" s="1"/>
  <c r="H160" i="1" l="1"/>
  <c r="H177" i="1" s="1"/>
  <c r="E311" i="1"/>
  <c r="F457" i="1"/>
  <c r="E160" i="1"/>
  <c r="E177" i="1" s="1"/>
  <c r="H311" i="1"/>
  <c r="F352" i="1"/>
  <c r="F240" i="1"/>
  <c r="F311" i="1" s="1"/>
  <c r="F328" i="1"/>
  <c r="E121" i="1"/>
  <c r="E159" i="1" s="1"/>
  <c r="F353" i="1"/>
  <c r="F185" i="1"/>
  <c r="F206" i="1" s="1"/>
  <c r="H121" i="1"/>
  <c r="H159" i="1" s="1"/>
  <c r="F160" i="1"/>
  <c r="F177" i="1" s="1"/>
  <c r="E71" i="1"/>
  <c r="F97" i="1"/>
  <c r="H54" i="1"/>
  <c r="E97" i="1"/>
  <c r="H71" i="1"/>
  <c r="H97" i="1"/>
  <c r="F115" i="1"/>
  <c r="F139" i="1"/>
  <c r="F121" i="1"/>
  <c r="F54" i="1"/>
  <c r="E54" i="1"/>
  <c r="F37" i="1"/>
  <c r="F29" i="1"/>
  <c r="F20" i="1"/>
  <c r="F19" i="1" s="1"/>
  <c r="F13" i="1"/>
  <c r="H53" i="1"/>
  <c r="F71" i="1"/>
  <c r="E19" i="1"/>
  <c r="E53" i="1" s="1"/>
  <c r="F397" i="1" l="1"/>
  <c r="E120" i="1"/>
  <c r="F120" i="1"/>
  <c r="F159" i="1"/>
  <c r="H120" i="1"/>
  <c r="F36" i="1"/>
  <c r="F12" i="1"/>
  <c r="F53" i="1" l="1"/>
</calcChain>
</file>

<file path=xl/sharedStrings.xml><?xml version="1.0" encoding="utf-8"?>
<sst xmlns="http://schemas.openxmlformats.org/spreadsheetml/2006/main" count="2022" uniqueCount="1078">
  <si>
    <t>№ п/п</t>
  </si>
  <si>
    <t>Наименование муниципальной программы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</si>
  <si>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</si>
  <si>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</si>
  <si>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</si>
  <si>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</si>
  <si>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</si>
  <si>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</si>
  <si>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</si>
  <si>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</si>
  <si>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</si>
  <si>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</si>
  <si>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</si>
  <si>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</si>
  <si>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</si>
  <si>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</si>
  <si>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</si>
  <si>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</si>
  <si>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</si>
  <si>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</si>
  <si>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</si>
  <si>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</si>
  <si>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</si>
  <si>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</si>
  <si>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</si>
  <si>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</si>
  <si>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</si>
  <si>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</si>
  <si>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</si>
  <si>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</si>
  <si>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</si>
  <si>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</si>
  <si>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</si>
  <si>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</si>
  <si>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</si>
  <si>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</si>
  <si>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</si>
  <si>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</si>
  <si>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</si>
  <si>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</si>
  <si>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</si>
  <si>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</si>
  <si>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</si>
  <si>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</si>
  <si>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</si>
  <si>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 xml:space="preserve">Образование </t>
  </si>
  <si>
    <t>Дошкольное образование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</si>
  <si>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</si>
  <si>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</si>
  <si>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</si>
  <si>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</si>
  <si>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</si>
  <si>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</si>
  <si>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</si>
  <si>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</si>
  <si>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</si>
  <si>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</si>
  <si>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</si>
  <si>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</si>
  <si>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</si>
  <si>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</si>
  <si>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</si>
  <si>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</si>
  <si>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</si>
  <si>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</si>
  <si>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</si>
  <si>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</si>
  <si>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</si>
  <si>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</si>
  <si>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</si>
  <si>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</si>
  <si>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</si>
  <si>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</si>
  <si>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</si>
  <si>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</si>
  <si>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</si>
  <si>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</si>
  <si>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</si>
  <si>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</si>
  <si>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</si>
  <si>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</si>
  <si>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</si>
  <si>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</si>
  <si>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Творческие люди</t>
  </si>
  <si>
    <t>Культурная среда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</si>
  <si>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</si>
  <si>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</si>
  <si>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</si>
  <si>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</si>
  <si>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</si>
  <si>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</si>
  <si>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</si>
  <si>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</si>
  <si>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</si>
  <si>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</si>
  <si>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</si>
  <si>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</si>
  <si>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</si>
  <si>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</si>
  <si>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</si>
  <si>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</si>
  <si>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</si>
  <si>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</si>
  <si>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</si>
  <si>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</si>
  <si>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</si>
  <si>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</si>
  <si>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</si>
  <si>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</si>
  <si>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</si>
  <si>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</si>
  <si>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</si>
  <si>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</si>
  <si>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</si>
  <si>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</si>
  <si>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</si>
  <si>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</si>
  <si>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</si>
  <si>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</si>
  <si>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</si>
  <si>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</si>
  <si>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</si>
  <si>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</si>
  <si>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</si>
  <si>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</si>
  <si>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>Профилактика производственного травматизма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</si>
  <si>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</si>
  <si>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</si>
  <si>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Осуществление имущественной, информационной и консультационной поддержки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</si>
  <si>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</si>
  <si>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</si>
  <si>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</si>
  <si>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</si>
  <si>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>Развитие видов спорта в Московской области</t>
  </si>
  <si>
    <t xml:space="preserve">Развитие сельского хозяйства 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</si>
  <si>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</si>
  <si>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</si>
  <si>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</si>
  <si>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</si>
  <si>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</si>
  <si>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</si>
  <si>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</si>
  <si>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</si>
  <si>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</si>
  <si>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</si>
  <si>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</si>
  <si>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</si>
  <si>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</si>
  <si>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</si>
  <si>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</si>
  <si>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</si>
  <si>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</si>
  <si>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</si>
  <si>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</si>
  <si>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</si>
  <si>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</si>
  <si>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</si>
  <si>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</si>
  <si>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Создание, содержание системно-аппаратного комплекса «Безопасный город» на территории Московской области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</si>
  <si>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</si>
  <si>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</si>
  <si>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</si>
  <si>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</si>
  <si>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</si>
  <si>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</si>
  <si>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</si>
  <si>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</si>
  <si>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</si>
  <si>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</si>
  <si>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</si>
  <si>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</si>
  <si>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</si>
  <si>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</si>
  <si>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Создание условий для развития рынка доступного жилья, развитие жилищного строительства</t>
  </si>
  <si>
    <t>Обеспечение прав пострадавших граждан-соинвесторов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</si>
  <si>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</si>
  <si>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</si>
  <si>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Обеспечение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</si>
  <si>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</si>
  <si>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</si>
  <si>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</si>
  <si>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</si>
  <si>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Развитие инженерной инфраструктуры и энергоэффективности</t>
  </si>
  <si>
    <t xml:space="preserve">Предпринимательство </t>
  </si>
  <si>
    <t xml:space="preserve">Управление имуществом и муниципальными финансами 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</si>
  <si>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</si>
  <si>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и функционирование дорожно - транспортного комплекса</t>
  </si>
  <si>
    <t xml:space="preserve">Цифровое муниципальное образование </t>
  </si>
  <si>
    <t>Основное мероприятие E4.</t>
  </si>
  <si>
    <t xml:space="preserve">Архитектура и градостроительство </t>
  </si>
  <si>
    <t xml:space="preserve">Формирование современной комфортной городской среды </t>
  </si>
  <si>
    <t xml:space="preserve">Строительство объектов социальной инфраструктуры 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</si>
  <si>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</si>
  <si>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</si>
  <si>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</si>
  <si>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</si>
  <si>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</si>
  <si>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</si>
  <si>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</si>
  <si>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>Основное мероприятие P2.</t>
  </si>
  <si>
    <t>Основное мероприятие E1.</t>
  </si>
  <si>
    <t>Основное мероприятие E2.</t>
  </si>
  <si>
    <t>Оборудование и обслуживание объектов образования</t>
  </si>
  <si>
    <t>Оборудование и обслуживание объектов культуры</t>
  </si>
  <si>
    <t>Оборудование и обслуживание объектов спорта</t>
  </si>
  <si>
    <t>Оборудование и обслуживание зданий, находящихся в муниципальной собственности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</si>
  <si>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</si>
  <si>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</si>
  <si>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</si>
  <si>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</si>
  <si>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Расходы на функционирование, административно-хозяйственную деятельность учреждения</t>
  </si>
  <si>
    <t>Организация обучения сотрудников учреждения в учебно-методическом центре, создание и развитие учебно-материальной базы</t>
  </si>
  <si>
    <t>Обеспечение форменной одеждой сотрудников учреждения</t>
  </si>
  <si>
    <t>Налог на имущество</t>
  </si>
  <si>
    <t>Коммунальные услуги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</si>
  <si>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</si>
  <si>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</si>
  <si>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</si>
  <si>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</si>
  <si>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</si>
  <si>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</si>
  <si>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Обеспечение пожарной безопасности на территории муниципального образования Московской области</t>
  </si>
  <si>
    <t>Закупка первичных средств пожаротушения</t>
  </si>
  <si>
    <t>Техническое обслуживание автоматической пожарной сигнализации и системы оповещения о пожаре</t>
  </si>
  <si>
    <t>Выполнение работ по монтажу  и пуско-наладке автоматической пожарной сигнализации в административном здании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</si>
  <si>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</si>
  <si>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>Проведение мероприятий по обеспечению пожарной безопасности на объектах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</si>
  <si>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</si>
  <si>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>Обеспечение пожарной безопасности на объектах культуры</t>
  </si>
  <si>
    <t>Обеспечение пожарной безопасности на объектах спорта</t>
  </si>
  <si>
    <t>Обеспечение пожарной безопасности на объектах образования</t>
  </si>
  <si>
    <t>Обеспечение мероприятий гражданской обороны на территории муниципального образования Московской области</t>
  </si>
  <si>
    <t>Основное мероприятие A1.</t>
  </si>
  <si>
    <t>Охрана окружающей среды</t>
  </si>
  <si>
    <t>Проведение обследований состояния окружающей среды</t>
  </si>
  <si>
    <t>Вовлечение населения в экологические мероприятия</t>
  </si>
  <si>
    <t>Развитие музейного дела в Московской области</t>
  </si>
  <si>
    <t>Развитие библиотечного дела в Московской области</t>
  </si>
  <si>
    <t xml:space="preserve">Развитие профессионального искусства, гастрольно-концертной и культурно-досуговой деятельности, кинематографии Московской области </t>
  </si>
  <si>
    <t>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</t>
  </si>
  <si>
    <t>Развитие образования в сфере культуры Московской области</t>
  </si>
  <si>
    <t>Расходы на обеспечение деятельности муниципальных учреждений дополнительного образования сферы культуры  в рамках муниципального задания</t>
  </si>
  <si>
    <t>Развитие архивного дела в Московской области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</si>
  <si>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</si>
  <si>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учреждения, оплата проживания во время прохождения обучения)</t>
  </si>
  <si>
    <t>Подготовка населения в области гражданской обороны и действиям в чрезвычайных ситуациях. Пропаганда знаний в области ЧС и ГО (изготовление и распространение памяток, листовок, аншлагов, баннеров и т.д.)</t>
  </si>
  <si>
    <t>Проведение мероприятий по обеспечению пожарной безопасности на административных объектах</t>
  </si>
  <si>
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</si>
  <si>
    <t>Основное мероприятие 8.</t>
  </si>
  <si>
    <t>Проведение капитального ремонта объектов дошкольного образования, закупка оборудования</t>
  </si>
  <si>
    <t>Содействие занятости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</si>
  <si>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</si>
  <si>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</si>
  <si>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</si>
  <si>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</si>
  <si>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A2.</t>
  </si>
  <si>
    <t>Мероприятие 3.1.</t>
  </si>
  <si>
    <t>Мероприятие 3.2.</t>
  </si>
  <si>
    <t>Мероприятие 1.1.</t>
  </si>
  <si>
    <t>Мероприятие 1.1.1.</t>
  </si>
  <si>
    <t>Мероприятие 1.1.2.</t>
  </si>
  <si>
    <t>Мероприятие 1.1.3.</t>
  </si>
  <si>
    <t>Мероприятие 1.2.</t>
  </si>
  <si>
    <t>Мероприятие 1.2.1.</t>
  </si>
  <si>
    <t>Мероприятие 1.2.2.</t>
  </si>
  <si>
    <t>Мероприятие 1.2.3.</t>
  </si>
  <si>
    <t>Мероприятие 1.4.</t>
  </si>
  <si>
    <t>Мероприятие 1.5.</t>
  </si>
  <si>
    <t>Мероприятие 5.1.</t>
  </si>
  <si>
    <t>Мероприятие 5.2.</t>
  </si>
  <si>
    <t>Мероприятие 5.3.</t>
  </si>
  <si>
    <t>Мероприятие 1.3.</t>
  </si>
  <si>
    <t>Мероприятие 2.1.</t>
  </si>
  <si>
    <t>Мероприятие 2.2.</t>
  </si>
  <si>
    <t>Мероприятие 2.3.</t>
  </si>
  <si>
    <t>Мероприятие 2.4.</t>
  </si>
  <si>
    <t>Мероприятие 2.5.</t>
  </si>
  <si>
    <t>Мероприятие 2.6.</t>
  </si>
  <si>
    <t>Мероприятие 2.7.</t>
  </si>
  <si>
    <t>Мероприятие 2.8.</t>
  </si>
  <si>
    <t>Мероприятие P2.1.</t>
  </si>
  <si>
    <t>Мероприятие P2.2.</t>
  </si>
  <si>
    <t>Выполнено на 100%</t>
  </si>
  <si>
    <t>Мероприятие 1.6.</t>
  </si>
  <si>
    <t>Мероприятие 1.7.</t>
  </si>
  <si>
    <t>Мероприятие 1.8.</t>
  </si>
  <si>
    <t>Мероприятие 1.9.</t>
  </si>
  <si>
    <t>Мероприятие 3.4.</t>
  </si>
  <si>
    <t>Мероприятие 3.5.</t>
  </si>
  <si>
    <t>Мероприятие 3.6.</t>
  </si>
  <si>
    <t>Мероприятие 3.7.</t>
  </si>
  <si>
    <t>Мероприятие 3.8.</t>
  </si>
  <si>
    <t>Мероприятие 3.9.</t>
  </si>
  <si>
    <t>Мероприятие 3.18.</t>
  </si>
  <si>
    <t>Мероприятие 3.3.</t>
  </si>
  <si>
    <t>Мероприятие 6.1.</t>
  </si>
  <si>
    <t>Мероприятие 18.3.</t>
  </si>
  <si>
    <t>Мероприятие 19.1.</t>
  </si>
  <si>
    <t>Мероприятие 19.1.1.</t>
  </si>
  <si>
    <t>Мероприятие 19.1.2.</t>
  </si>
  <si>
    <t>Мероприятие 19.1.3.</t>
  </si>
  <si>
    <t>Мероприятие 19.2.</t>
  </si>
  <si>
    <t>Мероприятие 19.2.1.</t>
  </si>
  <si>
    <t>Мероприятие 5.1.1.</t>
  </si>
  <si>
    <t>Мероприятие 5.1.2.</t>
  </si>
  <si>
    <t>Мероприятие 5.1.3.</t>
  </si>
  <si>
    <t>Мероприятие 5.1.4.</t>
  </si>
  <si>
    <t>Мероприятие 5.1.5.</t>
  </si>
  <si>
    <t>Мероприятие 5.1.6.</t>
  </si>
  <si>
    <t>Мероприятие 5.1.7.</t>
  </si>
  <si>
    <t>Мероприятие 5.1.8.</t>
  </si>
  <si>
    <t>Расходы на обеспечение деятельности (оказание услуг) муниципальных учреждений в области физической культуры и спорта</t>
  </si>
  <si>
    <t>Организация и проведение официальных физкультурно-оздоровительных и спортивных мероприятий</t>
  </si>
  <si>
    <t>Мероприятие 8.1.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</si>
  <si>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</si>
  <si>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</si>
  <si>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Развитие вратарского мастерства по футболу в Московской области</t>
  </si>
  <si>
    <t>Обеспечение деятельности органов местного самоуправления</t>
  </si>
  <si>
    <t>Развитие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</si>
  <si>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</si>
  <si>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Мероприятие 1.3.1.</t>
  </si>
  <si>
    <t>Мероприятие 1.3.2.</t>
  </si>
  <si>
    <t>Мероприятие 1.3.3.</t>
  </si>
  <si>
    <t>Мероприятие 1.3.4.</t>
  </si>
  <si>
    <t>Мероприятие 1.3.5.</t>
  </si>
  <si>
    <t>Мероприятие 4.3.</t>
  </si>
  <si>
    <t>Мероприятие 4.4.</t>
  </si>
  <si>
    <t>Мероприятие 5.4.</t>
  </si>
  <si>
    <t>Мероприятие 1.5.1.</t>
  </si>
  <si>
    <t>Мероприятие 1.9.1.</t>
  </si>
  <si>
    <t>Мероприятие 1.9.2.</t>
  </si>
  <si>
    <t>Мероприятие 1.9.3.</t>
  </si>
  <si>
    <t>Мероприятие 1.10.</t>
  </si>
  <si>
    <t>Мероприятие 1.10.10.</t>
  </si>
  <si>
    <t>Мероприятие 1.10.20.</t>
  </si>
  <si>
    <t>Мероприятие 1.5.2.</t>
  </si>
  <si>
    <t>Мероприятие 1.5.3.</t>
  </si>
  <si>
    <t>Мероприятие 1.5.4.</t>
  </si>
  <si>
    <t>Мероприятие 1.5.5.</t>
  </si>
  <si>
    <t>Мероприятие 1.5.6.</t>
  </si>
  <si>
    <t>Мероприятие 1.5.7.</t>
  </si>
  <si>
    <t>Мероприятие 1.5.8.</t>
  </si>
  <si>
    <t>Мероприятие 1.5.9.</t>
  </si>
  <si>
    <t>Мероприятие 1.5.10.</t>
  </si>
  <si>
    <t>Мероприятие 1.11.</t>
  </si>
  <si>
    <t>Мероприятие 1.17.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</si>
  <si>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</si>
  <si>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</si>
  <si>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Создание условий для массового отдыха жителей городского округа в парках культуры и отдыха</t>
  </si>
  <si>
    <t>Оказание мер социальной поддержки отдельным категориям граждан</t>
  </si>
  <si>
    <t xml:space="preserve">Оказание материальной помощи гражданам, имеющим место жительства в Московской области	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</si>
  <si>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</si>
  <si>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Модернизация и материально-техническое обеспечение объектов физической культуры и спорта, находящихся в собственности Московской области или в собственности муниципальных образований Московской области</t>
  </si>
  <si>
    <t>Мероприятие 8.2.</t>
  </si>
  <si>
    <t xml:space="preserve">Материально-техническое обеспечение объектов физической культуры и спорта, находящихся в собственности муниципальных образований Московской области или переданных в безвозмездное пользование муниципальным учреждениям физической культуры и спорта 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</si>
  <si>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почвах, находящихся в собственности муниципального образования)</t>
  </si>
  <si>
    <t>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</t>
  </si>
  <si>
    <t>Проведение мероприятий по профилактике терроризма</t>
  </si>
  <si>
    <t>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</si>
  <si>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Проведение мероприятий по привлечению граждан, принимающих участие в деятельности народных дружин</t>
  </si>
  <si>
    <t>Материально-техническое обеспечение деятельности народных дружин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</si>
  <si>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</si>
  <si>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</t>
  </si>
  <si>
    <t>Развитие похоронного дела на территории Московской области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</si>
  <si>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</t>
  </si>
  <si>
    <t xml:space="preserve">Создание резервов материальных ресурсов для ликвидации ЧС на территории муниципального образования Московской области </t>
  </si>
  <si>
    <t>Создание, содержание и организация деятельности аварийно-спасательных формирований на территории муниципального образования (кроме заработной платы)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</si>
  <si>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</si>
  <si>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Содержание, поддержание в постоянной готовности к применению систем оповещения и информирования населения при чрезвычайных ситуациях или об угрозе возникновения чрезвычайной ситуации (аварии, происшествиях эпидемии) или военных конфликтах</t>
  </si>
  <si>
    <t>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</si>
  <si>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Выполнение работ по техническому обслуживанию пожарного водопровода и перекатка пожарных рукавов</t>
  </si>
  <si>
    <t>Мероприятие 1.5.11.</t>
  </si>
  <si>
    <t>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</si>
  <si>
    <t>Проведения работ по созданию условий для забора воды из них в любое время года (обустройство подъездов, с площадками с твердым покрытием, для установки пожарных автомобилей)</t>
  </si>
  <si>
    <t>Закупка имущества гражданской обороны, недостающего до норм обеспечения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</si>
  <si>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</si>
  <si>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</si>
  <si>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Порядковые № разделов и мероприятий, предусмотренных муниципальной программой</t>
  </si>
  <si>
    <t>Мероприятие 4.2.</t>
  </si>
  <si>
    <t>Создание условий для жилищного строительства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</si>
  <si>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</si>
  <si>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Реализация мероприятий по обеспечению жильем молодых семей</t>
  </si>
  <si>
    <t xml:space="preserve">Проведение и участие в учениях, соревнованиях, тренировках, смотрах-конкурсах, семинарах (в том числе учащихся общеобразовательных учреждений) </t>
  </si>
  <si>
    <t>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платы, налогов)</t>
  </si>
  <si>
    <t>Создание, поддержание мест отдыха у воды (благоустройство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пляжах)</t>
  </si>
  <si>
    <t>Содержание (в том числе очистка) противопожарных водоемов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</si>
  <si>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Планов)</t>
  </si>
  <si>
    <t>Мероприятие 2.25.</t>
  </si>
  <si>
    <t>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</si>
  <si>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</si>
  <si>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</si>
  <si>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Укрепление материально-технической базы и проведение текущего ремонта муниципальных организаций дополнительного образования сферы культуры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</si>
  <si>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</si>
  <si>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Основное мероприятие 20.</t>
  </si>
  <si>
    <t>Создание условий для поддержания здорового образа жизни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</si>
  <si>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</si>
  <si>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Выполнено на 20%</t>
  </si>
  <si>
    <t>Реализация мероприятий в области мелиорации земель сельскохозяйственного назначения</t>
  </si>
  <si>
    <t>Обеспечение эпизоотического и ветеринарно-санитарного благополучия и развития государственной ветеринарной службы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</si>
  <si>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</si>
  <si>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Мероприятия по мониторингу качества атмосферного воздуха (установка автоматизированных постов наблюдения за атмосферным воздухом на территории жилой застройки муниципального образования и закрытых полигонах твердых коммунальных отходов; обслуживание автоматизированных постов наблюдения за атмосферным воздухом)</t>
  </si>
  <si>
    <t>Проведение экологических мероприятий</t>
  </si>
  <si>
    <t>Информирование населения об экологическом мониторинге</t>
  </si>
  <si>
    <t>Развитие водохозяйственного комплекса</t>
  </si>
  <si>
    <t>Обеспечение безопасности гидротехнических сооружений и проведение мероприятий по берегоукреплению</t>
  </si>
  <si>
    <t>Ликвидация последствий засорения водных объектов</t>
  </si>
  <si>
    <t>Выполнение комплекса мероприятий по ликвидации последствий засорения водных объектов, находящихся в муниципальной собственности</t>
  </si>
  <si>
    <t>Региональная программа в области обращения с отходами, в том числе с твердыми коммунальными отходами</t>
  </si>
  <si>
    <t>Основное мероприятие 11.</t>
  </si>
  <si>
    <t>Организация работ в области обращения с отходами</t>
  </si>
  <si>
    <t>Мероприятие 11.5.</t>
  </si>
  <si>
    <t>Ликвидация несанкционированных свалок</t>
  </si>
  <si>
    <t>Выполнено на 24,8%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</si>
  <si>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</si>
  <si>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</si>
  <si>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Выполнено на 45,4%</t>
  </si>
  <si>
    <t>Выполнено на 50,6%</t>
  </si>
  <si>
    <t>Выполнено на 58,3%</t>
  </si>
  <si>
    <t>Выполнено на 64,3%</t>
  </si>
  <si>
    <t>Выполнено на 5,5%</t>
  </si>
  <si>
    <t>Реализация отдельных мероприятий муниципальных программ в сфере образования (на оплату труда педагогов дополнительного образования)</t>
  </si>
  <si>
    <t>Выполнено на 47,2%</t>
  </si>
  <si>
    <t>Выполнено на 51,5%</t>
  </si>
  <si>
    <t>Выполнено на 38,7%</t>
  </si>
  <si>
    <t>Мероприятие 4.5.</t>
  </si>
  <si>
    <t>Мероприятие 4.6.</t>
  </si>
  <si>
    <t>Реализация отдельных мероприятий муниципальных программ в сфере образования</t>
  </si>
  <si>
    <t>Выполнено на 21,5%</t>
  </si>
  <si>
    <t>Выполнено на 72,9%</t>
  </si>
  <si>
    <t>Организация и проведение массовых, официальных физкультурных и спортивных мероприятий</t>
  </si>
  <si>
    <t>Выполнено на 50,8%</t>
  </si>
  <si>
    <t>Выполнено на 43,4%</t>
  </si>
  <si>
    <t>Выполнено на 11,3%</t>
  </si>
  <si>
    <t>Выполнено на 7,1%</t>
  </si>
  <si>
    <t>Выполнено на 59,5%</t>
  </si>
  <si>
    <t>Выполнено на 66,8%</t>
  </si>
  <si>
    <t>Реализация полномочий ЕДДС по обеспечению круглосуточного приема вызовов, обработке и передаче в диспетчерские службы информации (о происшествиях или чрезвычайных ситуациях) по единому номеру 112 для организации реагирования, в том числе экстренного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</si>
  <si>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</si>
  <si>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</si>
  <si>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</si>
  <si>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</si>
  <si>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</t>
  </si>
  <si>
    <t>Создание условий для обеспечения качественными коммунальными услугами</t>
  </si>
  <si>
    <t>Строительство, реконструкция, капитальный ремонт, приобретение, монтаж и ввод в эксплуатацию объектов коммунальной инфраструктуры на территории муниципальных образований Московской области</t>
  </si>
  <si>
    <t>Капитальный ремонт, приобретение, монтаж и ввод в эксплуатацию объектов коммунальной инфраструктуры</t>
  </si>
  <si>
    <t>Строительство и реконструкция объектов коммунальной инфраструктуры</t>
  </si>
  <si>
    <t>Приобретение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</si>
  <si>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</si>
  <si>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</si>
  <si>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</si>
  <si>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</si>
  <si>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Организация учета энергоресурсов в жилищном фонде Московской области</t>
  </si>
  <si>
    <t>Установка, замена, поверка общедомовых приборов учета энергетических ресурсов в многоквартирных домах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</si>
  <si>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</si>
  <si>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Повышение энергетической эффективности многоквартирных домов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</si>
  <si>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</si>
  <si>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</si>
  <si>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Осуществление мероприятий по реализации стратегий социально-экономического развития наукоградов Российской Федерации</t>
  </si>
  <si>
    <t>Мероприятие 4.1.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</si>
  <si>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</si>
  <si>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4.1.1.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</si>
  <si>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</si>
  <si>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Мероприятие 4.1.2.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</si>
  <si>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</si>
  <si>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Мероприятие 4.1.3.</t>
  </si>
  <si>
    <t>Создание бизнес-инкубатора в сфере высоких технологий по адресу: Московская область, город Реутов, ул. Победы, д.7</t>
  </si>
  <si>
    <t>Выполнено на 75%</t>
  </si>
  <si>
    <t>Мероприятие 4.1.3.1.</t>
  </si>
  <si>
    <t>Ремонт помещений с обустройством зоны green-space бизнес-инкубатора по адресу: Московская область, город Реутов, ул. Победы, д.7</t>
  </si>
  <si>
    <t>Мероприятие 4.1.3.2.</t>
  </si>
  <si>
    <t>Оснащение бизнес-инкубатора по адресу: Московская область, город Реутов, ул. Победы, д.7</t>
  </si>
  <si>
    <t>Мероприятие 4.1.3.3.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</si>
  <si>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</si>
  <si>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Мероприятие 4.1.3.4.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</si>
  <si>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</si>
  <si>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Мероприятие 4.1.4.</t>
  </si>
  <si>
    <t>Ремонт здания муниципального бюджетного общеобразовательного учреждения «Средняя общеобразовательная школа №4» по адресу: г. Реутов, ул. Комсомольская, д.15</t>
  </si>
  <si>
    <t>Мероприятие 4.1.6.</t>
  </si>
  <si>
    <t>Ремонтные работы по обустройству зоны green-space бизнес-инкубатора по адресу:  г. Реутов, ул. Победы, д.7 (кровля)</t>
  </si>
  <si>
    <t>Мероприятие 4.1.7.</t>
  </si>
  <si>
    <t>Капитальный ремонт помещений бизнес-инкубатора по адресу:  г. Реутов, ул. Новая, д.19</t>
  </si>
  <si>
    <t>Мероприятие 4.1.8.</t>
  </si>
  <si>
    <t>Выполнение работ по проверке достоверности определения сметной стоимости по ремонту бизнес-инкубатора по адресам: Московская область, город Реутов, ул. Победы, д.7; Московская область, г. Реутов, ул. Новая, 19</t>
  </si>
  <si>
    <t>Мероприятие 4.1.9.</t>
  </si>
  <si>
    <t>Оснащение оборудованием бизнес-инкубатора по адресу: Московская область, г. Реутов, ул. Победы, д.7</t>
  </si>
  <si>
    <t>Мероприятие 4.1.10.</t>
  </si>
  <si>
    <t>Оснащение оборудованием бизнес-инкубатора по адресу: Московская область, г. Реутов, ул. Новая, д.19</t>
  </si>
  <si>
    <t>Мероприятие 4.1.11.</t>
  </si>
  <si>
    <t>Выполнение проектных работ для капитального ремонта помещений бизнес-инкубатора по адресу: г. Реутов, ул. Новая, д.19</t>
  </si>
  <si>
    <t>Мероприятие 4.1.12.</t>
  </si>
  <si>
    <t>Мероприятие 4.1.13.</t>
  </si>
  <si>
    <t>Оснащение муниципального бюджетного учреждения дополнительного образования «Дом детского творчества» в целях создания детского технопарка «Изобретариум 3.0» по адресу: Московская область, город Реутов, Юбилейный пр-т., д.36</t>
  </si>
  <si>
    <t>Мероприятие 4.1.14.</t>
  </si>
  <si>
    <t>Ремонт здания и школьного стадиона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</si>
  <si>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4.1.15.</t>
  </si>
  <si>
    <t>Оснащение профильных IT-классов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</si>
  <si>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4.1.16.</t>
  </si>
  <si>
    <t>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</t>
  </si>
  <si>
    <t>Мероприятие 4.1.17.</t>
  </si>
  <si>
    <t xml:space="preserve">Оснащение профильных информационно-технологических классов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 </t>
  </si>
  <si>
    <t>Организация работ по поддержке и развитию промышленного потенциала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</si>
  <si>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</si>
  <si>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</si>
  <si>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Развитие конкурентной среды в рамках Федерального закона № 44-ФЗ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</si>
  <si>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</si>
  <si>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Реализация комплекса мер по содействию развитию конкуренции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</si>
  <si>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</si>
  <si>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</si>
  <si>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 оборудования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</si>
  <si>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</si>
  <si>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</si>
  <si>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</si>
  <si>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</si>
  <si>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Развитие потребительского рынка и услуг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</si>
  <si>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</si>
  <si>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</si>
  <si>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</si>
  <si>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</si>
  <si>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</si>
  <si>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</si>
  <si>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</si>
  <si>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№221-ФЗ «О кадастровой деятельности»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</si>
  <si>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</si>
  <si>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</si>
  <si>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Мероприятие 7.1.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</si>
  <si>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</si>
  <si>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</si>
  <si>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Выполнено на 41,8%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</si>
  <si>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</si>
  <si>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</si>
  <si>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</si>
  <si>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</si>
  <si>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</si>
  <si>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Управление муниципальным долгом</t>
  </si>
  <si>
    <t>Ежегодное снижение доли просроченной кредиторской задолженности в расходах бюджета городского округа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</si>
  <si>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</si>
  <si>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</si>
  <si>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</si>
  <si>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Выполнено на 43,2%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</si>
  <si>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</si>
  <si>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</si>
  <si>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Выполнено на 37,2%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</si>
  <si>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</si>
  <si>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</si>
  <si>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</si>
  <si>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</si>
  <si>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</si>
  <si>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</si>
  <si>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</si>
  <si>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</si>
  <si>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Расходы на обеспечение деятельности (оказание услуг) муниципальных учреждений в сфере информационной политики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</si>
  <si>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</si>
  <si>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</si>
  <si>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</si>
  <si>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Организация создания и эксплуатации сети объектов наружной рекламы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</si>
  <si>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</si>
  <si>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Мероприятие 7.2.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</si>
  <si>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</si>
  <si>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Выполнено на 39,5%</t>
  </si>
  <si>
    <t>Мероприятие 7.3.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</si>
  <si>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</si>
  <si>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Мероприятие 7.4.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</si>
  <si>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</si>
  <si>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</si>
  <si>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</si>
  <si>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Реализация проектов граждан, сформированных в рамках практик инициативного бюджетирования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</si>
  <si>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</si>
  <si>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</si>
  <si>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</si>
  <si>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</si>
  <si>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</si>
  <si>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</si>
  <si>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Расходы на обеспечение деятельности (оказание услуг) муниципальных учреждений в сфере молодежной политики</t>
  </si>
  <si>
    <t>Основное мероприятие E8.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</si>
  <si>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</si>
  <si>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</si>
  <si>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</si>
  <si>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Выполнено на 49,5%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</si>
  <si>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</si>
  <si>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</si>
  <si>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Пассажирский транспорт общего пользования</t>
  </si>
  <si>
    <t>Организация транспортного обслуживания населения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</si>
  <si>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</si>
  <si>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</si>
  <si>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</si>
  <si>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</si>
  <si>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Мероприятие 2.26.</t>
  </si>
  <si>
    <t>Cофинансирование расходов по обеспечению транспортной безопасности населения Московской области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</si>
  <si>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</si>
  <si>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</si>
  <si>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</si>
  <si>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</si>
  <si>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Выполнено на 52,9%</t>
  </si>
  <si>
    <t>Софинансирование работ по капитальному ремонту и ремонту автомобильных дорог общего пользования местного значения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</si>
  <si>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</si>
  <si>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Мероприятие 5.5.</t>
  </si>
  <si>
    <t>Дорожная деятельность в отношении автомобильных дорог местного значения в границах городского округа</t>
  </si>
  <si>
    <t>Мероприятие 5.5.1.</t>
  </si>
  <si>
    <t>Содержание автомобильных дорог общего пользования местного значения с совершенствованным типом покрытия</t>
  </si>
  <si>
    <t>Мероприятие 5.5.2.</t>
  </si>
  <si>
    <t>Содержание и ремонт ливневой канализации</t>
  </si>
  <si>
    <t>Выполнено на 55%</t>
  </si>
  <si>
    <t>Мероприятие 5.5.3.</t>
  </si>
  <si>
    <t>Проектирование ливневой канализации</t>
  </si>
  <si>
    <t>Мероприятие 5.5.4.</t>
  </si>
  <si>
    <t>Ремонт тротуаров</t>
  </si>
  <si>
    <t>Мероприятие 5.5.5.</t>
  </si>
  <si>
    <t>Замена стекол на автобусных остановках</t>
  </si>
  <si>
    <t>Мероприятие 5.5.6.</t>
  </si>
  <si>
    <t xml:space="preserve"> Оценка качества укладки асфальта при ремонте дорог</t>
  </si>
  <si>
    <t>Мероприятие 5.5.7.</t>
  </si>
  <si>
    <t>Ямочный ремонт дворовых территорий по Доброделу</t>
  </si>
  <si>
    <t>Мероприятие 5.5.8.</t>
  </si>
  <si>
    <t>Мероприятие 5.5.9.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</si>
  <si>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</si>
  <si>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>Мероприятие 5.5.10.</t>
  </si>
  <si>
    <t>Устройство остановочных павильонов</t>
  </si>
  <si>
    <t>Выполнено на 67,8%</t>
  </si>
  <si>
    <t>Мероприятие 5.5.11.</t>
  </si>
  <si>
    <t>Ремонт и замена дублирующей подсветки светофорных объектов</t>
  </si>
  <si>
    <t>Мероприятие 5.5.12.</t>
  </si>
  <si>
    <t>Паспортизация автомобильных дорог</t>
  </si>
  <si>
    <t>Мероприятие 5.6.</t>
  </si>
  <si>
    <t>Мероприятия по обеспечению безопасности дорожного движения</t>
  </si>
  <si>
    <t>Мероприятие 5.6.1.</t>
  </si>
  <si>
    <t xml:space="preserve">Обустройство искусственной дорожной неровностей </t>
  </si>
  <si>
    <t>Мероприятие 5.6.2.</t>
  </si>
  <si>
    <t>Установка дорожных знаков</t>
  </si>
  <si>
    <t>Мероприятие 5.6.3.</t>
  </si>
  <si>
    <t>Обустройство пешеходных переходов согласно требованиям программы и дополнительное освещение</t>
  </si>
  <si>
    <t>Мероприятие 5.6.4.</t>
  </si>
  <si>
    <t>Установка пешеходных ограждений</t>
  </si>
  <si>
    <t>Мероприятие 5.7.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</si>
  <si>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</si>
  <si>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</si>
  <si>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Расходы на обеспечение деятельности (оказание услуг) муниципальных учреждений в сфере дорожного хозяйства для казенных учреждений</t>
  </si>
  <si>
    <t>Расходы на обеспечение деятельности (оказание услуг) муниципальных учреждений в сфере дорожного хозяйства для бюджетных учреждений</t>
  </si>
  <si>
    <t>Выполнено на 45,3%</t>
  </si>
  <si>
    <t>Субсидии на иные цели</t>
  </si>
  <si>
    <t>Выполнено на 44%</t>
  </si>
  <si>
    <t>Выполнено на 10,7%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</si>
  <si>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</si>
  <si>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</si>
  <si>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</si>
  <si>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</si>
  <si>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Реализация политики пространственного развития городского округа</t>
  </si>
  <si>
    <t xml:space="preserve"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</si>
  <si>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</si>
  <si>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Обеспечение мер по ликвидации самовольных, недостроенных и аварийных объектов на территории муниципального образования Московской области </t>
  </si>
  <si>
    <t>Мероприятие 1.12.</t>
  </si>
  <si>
    <t>Мероприятие 1.13.</t>
  </si>
  <si>
    <t>Мероприятие 1.14.</t>
  </si>
  <si>
    <t>Мероприятие 1.15.</t>
  </si>
  <si>
    <t>Мероприятие 1.16.</t>
  </si>
  <si>
    <t>Мероприятие 1.20.</t>
  </si>
  <si>
    <t>Мероприятие 1.21.</t>
  </si>
  <si>
    <t>Мероприятие 1.22.</t>
  </si>
  <si>
    <t>Мероприятие 1.23.</t>
  </si>
  <si>
    <t>Мероприятие 1.24.</t>
  </si>
  <si>
    <t>Мероприятие 1.24.1.</t>
  </si>
  <si>
    <t>Мероприятие 1.25.</t>
  </si>
  <si>
    <t>Мероприятие 1.26.</t>
  </si>
  <si>
    <t>Мероприятие 1.27.</t>
  </si>
  <si>
    <t>Мероприятие 1.29.</t>
  </si>
  <si>
    <t>Мероприятие 1.30.</t>
  </si>
  <si>
    <t>Мероприятие 1.35.</t>
  </si>
  <si>
    <t>Выполнено на 42,5%</t>
  </si>
  <si>
    <t>Мероприятие 1.35.1.</t>
  </si>
  <si>
    <t>Мероприятие 1.35.2.</t>
  </si>
  <si>
    <t>Мероприятие 1.35.3.</t>
  </si>
  <si>
    <t>Мероприятие 1.35.4.</t>
  </si>
  <si>
    <t>Мероприятие 1.35.5.</t>
  </si>
  <si>
    <t>Мероприятие 1.35.6.</t>
  </si>
  <si>
    <t>Мероприятие 1.35.7.</t>
  </si>
  <si>
    <t>Мероприятие 1.35.8.</t>
  </si>
  <si>
    <t>Мероприятие 1.36.</t>
  </si>
  <si>
    <t>Мероприятие 1.37.</t>
  </si>
  <si>
    <t>Мероприятие 1.38.</t>
  </si>
  <si>
    <t>Мероприятие 1.39.</t>
  </si>
  <si>
    <t>Мероприятие 1.40.</t>
  </si>
  <si>
    <t>Мероприятие 1.41.</t>
  </si>
  <si>
    <t>Мероприятие 1.42.</t>
  </si>
  <si>
    <t>Мероприятие 1.43.</t>
  </si>
  <si>
    <t>Мероприятие 1.44.</t>
  </si>
  <si>
    <t>Основное мероприятие F2.</t>
  </si>
  <si>
    <t>Мероприятие F2.1.</t>
  </si>
  <si>
    <t>Мероприятие F2.3.</t>
  </si>
  <si>
    <t>Мероприятие F2.3.1.</t>
  </si>
  <si>
    <t>Мероприятие F2.3.2.</t>
  </si>
  <si>
    <t>Мероприятие F2.5.</t>
  </si>
  <si>
    <t>Мероприятие F2.6.</t>
  </si>
  <si>
    <t>Мероприятие F2.7.</t>
  </si>
  <si>
    <t>Мероприятие F2.8.</t>
  </si>
  <si>
    <t>Мероприятие F2.11.</t>
  </si>
  <si>
    <t>Мероприятие F2.18.</t>
  </si>
  <si>
    <t>Мероприятие F2.19.</t>
  </si>
  <si>
    <t>Мероприятие F2.27.</t>
  </si>
  <si>
    <t>Выполнено на 34,8%</t>
  </si>
  <si>
    <t>Мероприятие 1.13.1.</t>
  </si>
  <si>
    <t>Мероприятие 1.13.2.</t>
  </si>
  <si>
    <t>Мероприятие 1.14.1.</t>
  </si>
  <si>
    <t>Мероприятие 1.14.2.</t>
  </si>
  <si>
    <t>Мероприятие 1.15.1.</t>
  </si>
  <si>
    <t>Мероприятие 1.15.2.</t>
  </si>
  <si>
    <t>Мероприятие 1.15.3.</t>
  </si>
  <si>
    <t>Мероприятие 1.15.4.</t>
  </si>
  <si>
    <t>Мероприятие 1.17.1.</t>
  </si>
  <si>
    <t>Выполнено на 68,2%</t>
  </si>
  <si>
    <t>Мероприятие 1.17.2.</t>
  </si>
  <si>
    <t>Мероприятие 1.18.</t>
  </si>
  <si>
    <t>Мероприятие 1.19.</t>
  </si>
  <si>
    <t>Мероприятие 2.1.1.</t>
  </si>
  <si>
    <t>Мероприятие 2.1.2.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</si>
  <si>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</si>
  <si>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Выполнено на 39,2%</t>
  </si>
  <si>
    <t>Основное мероприятие P5.</t>
  </si>
  <si>
    <t>ОПЕРАТИВНЫЙ ОТЧЕТ О ВЫПОЛНЕНИИ МУНИЦИПАЛЬНЫХ ПРОГРАММ ГОРОДСКОГО ОКРУГА РЕУТОВ ЗА 9 МЕСЯЦЕВ  2022 ГОДА</t>
  </si>
  <si>
    <t>Выполнено на 65,8%</t>
  </si>
  <si>
    <t>Выполнено на 66%</t>
  </si>
  <si>
    <t>Выполнено на 65,6%</t>
  </si>
  <si>
    <t>Выполнено на 64,1%</t>
  </si>
  <si>
    <t>Выполнено на 68%</t>
  </si>
  <si>
    <t>Выполнено на 70,3%</t>
  </si>
  <si>
    <t>Выполнено на 71,3%</t>
  </si>
  <si>
    <t>Выполнено на 76,5%</t>
  </si>
  <si>
    <t>Выполнено на 61,3%</t>
  </si>
  <si>
    <t>Выполнено на 66,4%</t>
  </si>
  <si>
    <t>Выполнено на 36,2%</t>
  </si>
  <si>
    <t>Выполнено на 49,4%</t>
  </si>
  <si>
    <t>Выполнено на 54,8%</t>
  </si>
  <si>
    <t>Выполнено на 61,7%</t>
  </si>
  <si>
    <t>Выполнено на 52,4%</t>
  </si>
  <si>
    <t>Выполнено на 63,8%</t>
  </si>
  <si>
    <t>Выполнено на 61,5%</t>
  </si>
  <si>
    <t>Выполнено на 62,5%</t>
  </si>
  <si>
    <t>Выполнено на 63,6%</t>
  </si>
  <si>
    <t>Выполнено на 43,6%</t>
  </si>
  <si>
    <t>Выполнено на 61,2%</t>
  </si>
  <si>
    <t>Выполнено на 68,7%</t>
  </si>
  <si>
    <t>Выполнено на 59,9%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</si>
  <si>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</si>
  <si>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63,9%</t>
  </si>
  <si>
    <t>Выполнено на 72,6%</t>
  </si>
  <si>
    <t>Выполнено на 60,7%</t>
  </si>
  <si>
    <t>Выполнено на 64,2%</t>
  </si>
  <si>
    <t>Укрепление материально-технической базы и проведение текущего ремонта учреждений дополнительного образования</t>
  </si>
  <si>
    <t>Выполнено на 11,7%</t>
  </si>
  <si>
    <t>Выполнено на 64,6%</t>
  </si>
  <si>
    <t>Выполнено на 65,9%</t>
  </si>
  <si>
    <t>Выполнено на 63,1%</t>
  </si>
  <si>
    <t>Выполнено на 61%</t>
  </si>
  <si>
    <t>Выполнено на 53,9%</t>
  </si>
  <si>
    <t>Выполнено на 53,2%</t>
  </si>
  <si>
    <t>Выполнено на 51,1%</t>
  </si>
  <si>
    <t>Выполнено на 76,2%</t>
  </si>
  <si>
    <t>Выполнено на 60,3%</t>
  </si>
  <si>
    <t>Выполнено на 44,4%</t>
  </si>
  <si>
    <t>Выполнено на 38,6%</t>
  </si>
  <si>
    <t>Выполнено на 31,9%</t>
  </si>
  <si>
    <t>Выполнено на 97,5%</t>
  </si>
  <si>
    <t>Выполнено на 98,3%</t>
  </si>
  <si>
    <t>Выполнено на 76%</t>
  </si>
  <si>
    <t>Выполнено на 94,7%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</si>
  <si>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</si>
  <si>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Выполнено на 68,4%</t>
  </si>
  <si>
    <t>Выполнено на 65,1%</t>
  </si>
  <si>
    <t>Выполнено на 67,5%</t>
  </si>
  <si>
    <t>Выполнено на 14,7%</t>
  </si>
  <si>
    <t>Выполнено на 69,2%</t>
  </si>
  <si>
    <t>Выполнено на 0 %</t>
  </si>
  <si>
    <t>Выполнено на 70,6%</t>
  </si>
  <si>
    <t>Выполнено на 72,4%</t>
  </si>
  <si>
    <t>Выполнено на 70,9%</t>
  </si>
  <si>
    <t>Выполнено на 69,5%</t>
  </si>
  <si>
    <t>Организация отдыха и оздоровления детей из различных категорий семей, в том числе,  с трудной жизненной ситуацией,в профильных сменах в учреждениях отдыха и санаторно-оздоровительных учреждениях Подмосковья и юга РФ</t>
  </si>
  <si>
    <t>Выполнено на 10,3%</t>
  </si>
  <si>
    <t>Выполнено на 13,6%</t>
  </si>
  <si>
    <t>Выполнено на 36,7%</t>
  </si>
  <si>
    <t>Профилактические мероприятия по содержанию мест массового пребывания людей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</si>
  <si>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</t>
  </si>
  <si>
    <t>Мероприятие 3.1.1.</t>
  </si>
  <si>
    <t>Мероприятие 3.1.2.</t>
  </si>
  <si>
    <t>Установка устройств по приему вторсырья от жителей (фандоматов)</t>
  </si>
  <si>
    <t>Мероприятие 3.1.3.</t>
  </si>
  <si>
    <t>Оценка права безвозмездного пользования фандоматами</t>
  </si>
  <si>
    <t>Выполнено на 87,9%</t>
  </si>
  <si>
    <t>Выполнено на 99,9%</t>
  </si>
  <si>
    <t>Выполнено на 78,8%</t>
  </si>
  <si>
    <t>Выполнено на 60,5%</t>
  </si>
  <si>
    <t>Выполнено на 39,9%</t>
  </si>
  <si>
    <t>Выполнено на 34,9%</t>
  </si>
  <si>
    <t>Выполнено на 10,5%</t>
  </si>
  <si>
    <t>Выполнено на 16,7%</t>
  </si>
  <si>
    <t>Выполнено на 70%</t>
  </si>
  <si>
    <t>Мероприятие 3.5.1.</t>
  </si>
  <si>
    <t>Проведение семинаров для руководителей и специалистов муниципальных образовательных учреждений по вопросам профилактики и предупреждения проявлений экстремизма среди несовершеннолетних</t>
  </si>
  <si>
    <t>Выполнено на 80,8%</t>
  </si>
  <si>
    <t>Выполнено на 54,9%</t>
  </si>
  <si>
    <t>Выполнено на 57,9%</t>
  </si>
  <si>
    <t>Выполнено на 57,1%</t>
  </si>
  <si>
    <t>Мероприятие 7.9.</t>
  </si>
  <si>
    <t>Осуществление переданных полномочий Московской области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</si>
  <si>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Выполнено на 11,5%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</si>
  <si>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</t>
  </si>
  <si>
    <t>Выполнено на 90%</t>
  </si>
  <si>
    <t>Выполнено на 92,1%</t>
  </si>
  <si>
    <t>Издание листовок и брошюр по тематике обеспечения безопасности людей на водных объектах</t>
  </si>
  <si>
    <t>Выполнено на 63,3%</t>
  </si>
  <si>
    <t>Выполнено на 80%</t>
  </si>
  <si>
    <t>Выполнено на 30,1%</t>
  </si>
  <si>
    <t>Подача воды для пожаротушения</t>
  </si>
  <si>
    <t>Выполнено на 42,7%</t>
  </si>
  <si>
    <t>Выполнено на 66,6%</t>
  </si>
  <si>
    <t>Выполнено на 11,1%</t>
  </si>
  <si>
    <t>Выполнено на 66,7%</t>
  </si>
  <si>
    <t>Выполнено на 46,6%</t>
  </si>
  <si>
    <t>Мероприятие 1.8.1.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</si>
  <si>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</si>
  <si>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Выполнено на 94%</t>
  </si>
  <si>
    <t>Приобретение имущества, фото и видеоаппаратуры, канцелярских товаров и принадлежностей, книг учета, хозяйственных товаров и инвентаря, стендов, плакатов, обложек для планирующих документов, памяток, листовок и буклетов в целях проведения тренировок и учений по мобилизационной подготовке и поддержания в надлежащем состоянии учебного пункта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</si>
  <si>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</si>
  <si>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Выполнено на 69,8%</t>
  </si>
  <si>
    <t>Заработная плата с начислениями и суточные</t>
  </si>
  <si>
    <t>Выполнено на 55,6%</t>
  </si>
  <si>
    <t>Выполнено на 85%</t>
  </si>
  <si>
    <t>Выполнено на 86,3%</t>
  </si>
  <si>
    <t>Выполнено на 61,6%</t>
  </si>
  <si>
    <t>Выполнено на 87,2%</t>
  </si>
  <si>
    <t>Выполнено на 98,9%</t>
  </si>
  <si>
    <t>Расходы на обеспечение деятельности (оказание услуг) муниципальных учреждений в сфере жилищно-коммунального хозяйства</t>
  </si>
  <si>
    <t>Обеспечение деятельности муниципальных органов - учреждения в сфере жилищно-коммунального хозяйства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</si>
  <si>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</si>
  <si>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</si>
  <si>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Выполнено на 0,5%</t>
  </si>
  <si>
    <t>Выполнено на 81,9%</t>
  </si>
  <si>
    <t>Выполнено на 74,9%</t>
  </si>
  <si>
    <t>Ремонт помещения муниципального бюджетного учреждения дополнительного образования «Дом детского творчества» в целях создания детского технопарка «Изобретариум 3.0» по адресу: Московская область, город Реутов, Юбилейный пр-т., д.36</t>
  </si>
  <si>
    <t>Выполнено на 63,2%</t>
  </si>
  <si>
    <t>Основное мероприятие 10.</t>
  </si>
  <si>
    <t>Проведение конкурсного отбора лучших концепций по развитию территорий и дальнейшая реализация концепций победителей конкурса</t>
  </si>
  <si>
    <t>Выполнено на 73,4%</t>
  </si>
  <si>
    <t>Выполнено на 77,8%</t>
  </si>
  <si>
    <t>Расходы на обеспечение деятельности (оказание услуг) муниципальных учреждений в сфере предпринимательства</t>
  </si>
  <si>
    <t>Выполнено на 72,8%</t>
  </si>
  <si>
    <t>Выполнено на 66,1%</t>
  </si>
  <si>
    <t>Выполнено на 68,8%</t>
  </si>
  <si>
    <t>Выполнено на 70,2%</t>
  </si>
  <si>
    <t>Выполнено на 85,4%</t>
  </si>
  <si>
    <t>Выполнено на 68,9%</t>
  </si>
  <si>
    <t>Выполнено на 59,8%</t>
  </si>
  <si>
    <t>Выполнено на 61,1%</t>
  </si>
  <si>
    <t>Выполнено на 31%</t>
  </si>
  <si>
    <t>Выполнено на 54,2%</t>
  </si>
  <si>
    <t>Выполнено на 58,2%</t>
  </si>
  <si>
    <t>Выполнено на 46,3%</t>
  </si>
  <si>
    <t>Выполнено на 22,9%</t>
  </si>
  <si>
    <t>Выполнено на 57,6%</t>
  </si>
  <si>
    <t>Выполнено на 93,9%</t>
  </si>
  <si>
    <t>Выполнено на 93,5%</t>
  </si>
  <si>
    <t>Выполнено на 62,4%</t>
  </si>
  <si>
    <t>Выполнено на 60,8%</t>
  </si>
  <si>
    <t>Выполнено на 19,4%</t>
  </si>
  <si>
    <t>Выполнено на 47,8%</t>
  </si>
  <si>
    <t>Выполнено на 33,2%</t>
  </si>
  <si>
    <t>Выполнено на 71,2%</t>
  </si>
  <si>
    <t>Выполнено на 72,6 %</t>
  </si>
  <si>
    <t>Выполнено на 70,7%</t>
  </si>
  <si>
    <t>Устройства тротуаров и парковочных мест вдоль автомобильных дорог местного значения</t>
  </si>
  <si>
    <t>Выполнено на 93,8%</t>
  </si>
  <si>
    <t xml:space="preserve">Финансирование не предусмотрено	</t>
  </si>
  <si>
    <t>Выполнено на 59,7%</t>
  </si>
  <si>
    <t>Выполнено на 28,6%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</si>
  <si>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</t>
  </si>
  <si>
    <t>Выполнено на 66,2%</t>
  </si>
  <si>
    <t>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</si>
  <si>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Организация деятельности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</si>
  <si>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</si>
  <si>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</si>
  <si>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Выполнено на 57,4%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</si>
  <si>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</si>
  <si>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</si>
  <si>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</si>
  <si>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</si>
  <si>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Выполнено на 30,3%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</si>
  <si>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</si>
  <si>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</si>
  <si>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</si>
  <si>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Выполнено на 18,3%</t>
  </si>
  <si>
    <t>Информационная инфраструктура</t>
  </si>
  <si>
    <t>Выполнено на 55,3%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</si>
  <si>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</si>
  <si>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</si>
  <si>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Выполнено на 48,9%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</si>
  <si>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</si>
  <si>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</si>
  <si>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Выполнено на 55,9%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</si>
  <si>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</si>
  <si>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Информационная безопасность</t>
  </si>
  <si>
    <t>Выполнено на 1,6%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</si>
  <si>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</si>
  <si>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</si>
  <si>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Выполнено на 35,4%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</si>
  <si>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</si>
  <si>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</si>
  <si>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</si>
  <si>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Выполнено на 29,5%</t>
  </si>
  <si>
    <t>Цифровая культура</t>
  </si>
  <si>
    <t>Выполнено на 6,5%</t>
  </si>
  <si>
    <t>Мероприятие E4.3.</t>
  </si>
  <si>
    <t>Оснащение планшетными компьютерами общеобразовательных организаций в муниципальном образовании Московской области</t>
  </si>
  <si>
    <t>Мероприятие E4.4.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</si>
  <si>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</si>
  <si>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E4.6.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</si>
  <si>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</si>
  <si>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E4.7.</t>
  </si>
  <si>
    <t>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</si>
  <si>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Мероприятие E4.15.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</si>
  <si>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</si>
  <si>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Выполнено на 48,4%</t>
  </si>
  <si>
    <t>Мероприятие E4.16.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</si>
  <si>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</si>
  <si>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E4.17.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</si>
  <si>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</si>
  <si>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E4.20.</t>
  </si>
  <si>
    <t>Мероприятие E4.21.</t>
  </si>
  <si>
    <t>Обновление и техническое обслуживание (ремонт) средств (программного обеспечения и оборудования), приобретенных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</si>
  <si>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Основное мероприятие D2.</t>
  </si>
  <si>
    <t>Основное мероприятие D6.</t>
  </si>
  <si>
    <t>Комфортная городская среда</t>
  </si>
  <si>
    <t>Выполнено на 28,7%</t>
  </si>
  <si>
    <t>Благоустройство общественных территорий муниципальных образований Московской области</t>
  </si>
  <si>
    <t>Выполнено на 27,8%</t>
  </si>
  <si>
    <t>Реализация мероприятий, связанных с запуском Московских центральных диаметров</t>
  </si>
  <si>
    <t>Приобретение и установка технических сооружений (устройств) для развлечений, оснащенных электрическим приводом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</si>
  <si>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</si>
  <si>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</si>
  <si>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</si>
  <si>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</si>
  <si>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</si>
  <si>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</si>
  <si>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</si>
  <si>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детских,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</si>
  <si>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</si>
  <si>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</si>
  <si>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>Обустройство и установка детских игровых площадок на территории парков культуры и отдыха Московской области за счет средств местного бюджета</t>
  </si>
  <si>
    <t>Благоустройство общественных территорий</t>
  </si>
  <si>
    <t>Ремонт дворовых территорий за счет средств местного бюджета</t>
  </si>
  <si>
    <t>Благоустройство дворовых территорий (создание новых элементов)</t>
  </si>
  <si>
    <t>Выполнение мероприятий по организации наружного освещения территорий  городских округов Московской области</t>
  </si>
  <si>
    <t>Реализация мероприятий по благоустройству территорий, прилегающих к железнодорожным станциям</t>
  </si>
  <si>
    <t>Ямочный ремонт асфальтового покрытия дворовых территорий</t>
  </si>
  <si>
    <t>Улучшение архитектурно-художественного облика территорий муниципальных образований Московской области, не входящих в состав городов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</si>
  <si>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</si>
  <si>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Выполнено на 3,3%</t>
  </si>
  <si>
    <t>Мероприятие 1.23.1.</t>
  </si>
  <si>
    <t>Мероприятие 1.23.3.</t>
  </si>
  <si>
    <t>Проект АПК МЦД за счет средств местного бюджета</t>
  </si>
  <si>
    <t>Улучшение архитектурно-художественного облика улиц городов</t>
  </si>
  <si>
    <t>Выполнено на 44,6%</t>
  </si>
  <si>
    <t>Работы по разработке макета навигационных карт и схем навигации для размещения на остановочных пунктах общественного пассажирского транспорта</t>
  </si>
  <si>
    <t>Создание и ремонт пешеходных коммуникаций</t>
  </si>
  <si>
    <t>Изготовление и установка стел "Город трудовой доблести"</t>
  </si>
  <si>
    <t>Комплексное благоустройство дворовых территорий</t>
  </si>
  <si>
    <t>Премирование победителей смотра-конкурса «Парки Подмосковья»</t>
  </si>
  <si>
    <t>Устройство систем наружного освещения в рамках реализации проекта «Светлый город»</t>
  </si>
  <si>
    <t>Реализация программ формирования современной городской среды в части благоустройства общественных территорий за счет средств местного бюджета</t>
  </si>
  <si>
    <t>Выполнено на 65,7%</t>
  </si>
  <si>
    <t>Разработка проектной документации по реконструкции ул. Ашхабадская и ул. Железнодорожная</t>
  </si>
  <si>
    <t>Работы по подготовке проектной документации «Благоустройство ул. Ашхабадская, ул. Железнодорожная; в части ул. Дзержинского и части ул. Ленина в г.о. Реутов, Московской области»</t>
  </si>
  <si>
    <t>Проект велосипедных дорожек</t>
  </si>
  <si>
    <t>осуществление полномочий по организации благоустройства территорий муниципальных образований Московской области в части расходов на закупку декоративных, технологических, планировочных, конструктивных устройств, различных видов оборудования и оформления, применяемых как составные части благоустройства территорий, техники и средств малой механизации для содержания территорий городских</t>
  </si>
  <si>
    <t>Благоустройство сквера за ДК "МИР"</t>
  </si>
  <si>
    <t>Выполнено на 85,8%</t>
  </si>
  <si>
    <t>Архитектурный строительный надзоры, благоустройство центрального парка ул. Южной, Юбилейного проспекта г.о. Реутова в завершении объекта 2020г</t>
  </si>
  <si>
    <t>Выполнено на 32,3%</t>
  </si>
  <si>
    <t>«Подготовка проектной документации по благоустройству сквера Победы: на улице Победы, в районе домов 7-11»</t>
  </si>
  <si>
    <t>Благоустройство лесопарковых зон</t>
  </si>
  <si>
    <t>Мероприятие 1.35.9.</t>
  </si>
  <si>
    <t>Выполнение работ по благоустройству территории, обеспечивающее доступ к водным объектам общего пользования - пруд с координатами 55.756170,37.867902, расположенный в Парке "Фабричный пруд", ул. Парковая, городского округа Реутов, Московская область</t>
  </si>
  <si>
    <t>Мероприятие 1.35.10.</t>
  </si>
  <si>
    <t>Благоустройство "Центрального парка", улицы Южной и Юбилейного пр-та за счет средств местного бюджета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</si>
  <si>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 за счет средств местного бюджета</t>
  </si>
  <si>
    <t>Обустройство пляжей</t>
  </si>
  <si>
    <t>Обустройство и установка детских, игровых площадок на территории муниципальных образований Московской области</t>
  </si>
  <si>
    <t>Замена и модернизация детских игровых площадок</t>
  </si>
  <si>
    <t>Выполнено на 91,5%</t>
  </si>
  <si>
    <t>Содержание туалетных кабин</t>
  </si>
  <si>
    <t>Содержание и ремонт водных объектов (прудов) и устройств</t>
  </si>
  <si>
    <t>Комплексное благоустройство территорий (создание новых элементов)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</si>
  <si>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за счет средств местного бюджета</t>
  </si>
  <si>
    <t>Формирование комфортной городской среды</t>
  </si>
  <si>
    <t>Выполнено на 29,8%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</si>
  <si>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</si>
  <si>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благоустройства общественных территорий</t>
  </si>
  <si>
    <t>Благоустройство "Центрального парка", улицы Южной и Юбилейного пр-та</t>
  </si>
  <si>
    <t>Реконструкция ул. Парковая от ул. Ашхабадская до пересечения с ул. Гагарина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</si>
  <si>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</si>
  <si>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</si>
  <si>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</si>
  <si>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</si>
  <si>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Создание новых и (или) благоустройство существующих парков культуры и отдыха, расположенных на землях лесного фонда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</si>
  <si>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</si>
  <si>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</si>
  <si>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зон для досуга и отдыха населения в парках культуры и отдыха)</t>
  </si>
  <si>
    <t>Благоустройство территорий</t>
  </si>
  <si>
    <t>Выполнено на 62,9%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</si>
  <si>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</si>
  <si>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</si>
  <si>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</si>
  <si>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</si>
  <si>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</si>
  <si>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Организация общественных работ, субботников</t>
  </si>
  <si>
    <t>Вывоз навалов мусора и снега</t>
  </si>
  <si>
    <t xml:space="preserve">Устройство контейнерных площадок </t>
  </si>
  <si>
    <t xml:space="preserve">Финансовое обеспечение (оказание услуг) муниципальных казенных учреждений в сфере благоустройства </t>
  </si>
  <si>
    <t>Содержание и текущий ремонт покрытий</t>
  </si>
  <si>
    <t>Мероприятие 1.10.1.</t>
  </si>
  <si>
    <t>Муниципальное задание</t>
  </si>
  <si>
    <t>Мероприятие 1.10.2.</t>
  </si>
  <si>
    <t>Иные цели</t>
  </si>
  <si>
    <t>Выполнено на 25%</t>
  </si>
  <si>
    <t>Текущий ремонт асфальтового покрытия за счет дорожного фонда</t>
  </si>
  <si>
    <t>Соответствие внешнего вида ограждений региональным требованиям</t>
  </si>
  <si>
    <t>Содержание и текущий ремонт элементов объектов благоустройства</t>
  </si>
  <si>
    <t>Выполнено на 73,2%</t>
  </si>
  <si>
    <t>Субсидия на иные цели</t>
  </si>
  <si>
    <t>Озеленение территорий</t>
  </si>
  <si>
    <t>Выполнено на 78,5%</t>
  </si>
  <si>
    <t>Выполнено на 82,4%</t>
  </si>
  <si>
    <t>Субсидия на иные цели ( закупка деревьев, кустарников, грунта, семян)</t>
  </si>
  <si>
    <t>Выполнено на 59,1%</t>
  </si>
  <si>
    <t>Выполнено на 39,8%</t>
  </si>
  <si>
    <t>Оплата уличного освещения</t>
  </si>
  <si>
    <t>Выполнено на 41,5%</t>
  </si>
  <si>
    <t>Выполнено на 52,1%</t>
  </si>
  <si>
    <t>Капитальный ремонт опор уличного освещения</t>
  </si>
  <si>
    <t>Установка опор уличного освещения</t>
  </si>
  <si>
    <t>Замена неэнергоэффективных светильников наружного освещения</t>
  </si>
  <si>
    <t>Выполнено на 99,5%</t>
  </si>
  <si>
    <t>Выполнено на 97,9%</t>
  </si>
  <si>
    <t>Субсидии на инфе цели</t>
  </si>
  <si>
    <t>Выполнено на 98,6%</t>
  </si>
  <si>
    <t>Выполнено на 6,3%</t>
  </si>
  <si>
    <t>Выполнено на 74,4%</t>
  </si>
  <si>
    <t>Мероприятие 1.20.1.</t>
  </si>
  <si>
    <t>Ямочный ремонт асфальтового покрытия дворовых территорий (субсидия)</t>
  </si>
  <si>
    <t>Мероприятие 1.20.3.</t>
  </si>
  <si>
    <t>Ямочный ремонт асфальтового покрытия дворовых территорий (Добродел)</t>
  </si>
  <si>
    <t>Выполнено на 88,2%</t>
  </si>
  <si>
    <t>Ликвидация несанкционированных навалов мусора</t>
  </si>
  <si>
    <t>Выполнено на 57,7%</t>
  </si>
  <si>
    <t>Выполнено на 96,2%</t>
  </si>
  <si>
    <t>Ремонт контейнерных площадок</t>
  </si>
  <si>
    <t>Создание условий для обеспечения комфортного проживания жителей в многоквартирных домах Московской области</t>
  </si>
  <si>
    <t>Выполнено на 20,4%</t>
  </si>
  <si>
    <t>Приведение в надлежащее состояние подъездов в многоквартирных домах</t>
  </si>
  <si>
    <t>Выполнено на 47,5%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</si>
  <si>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</si>
  <si>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</si>
  <si>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</si>
  <si>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Проведение капитального ремонта многоквартирных домов на территории Московской области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</si>
  <si>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</si>
  <si>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Выполнено на 52,6%</t>
  </si>
  <si>
    <t>Выполнено на 38,9%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</si>
  <si>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</si>
  <si>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</si>
  <si>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Строительство (реконструкция) объектов культуры</t>
  </si>
  <si>
    <t>Строительство (реконструкция) объектов образования</t>
  </si>
  <si>
    <t>Выполнено на 32,1%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</si>
  <si>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</si>
  <si>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</si>
  <si>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Строительство (реконструкция) объектов физической культуры и спорта</t>
  </si>
  <si>
    <t>Выполнено на 74,3%</t>
  </si>
  <si>
    <t>Организация строительства (реконструкции) объектов физической культуры и спорта за счет внебюджетных источников</t>
  </si>
  <si>
    <t>Мероприятие 2.51.</t>
  </si>
  <si>
    <t>Строительство (реконструкция) объектов физической культуры и спорта за счет внебюджетных источников</t>
  </si>
  <si>
    <t>Спорт - норма жизни</t>
  </si>
  <si>
    <t>Выполнено на 56,9%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</si>
</sst>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>
      <protection locked="0"/>
    </xf>
  </cellStyleXfs>
  <cellXfs count="85">
    <xf numFmtId="0" fontId="0" fillId="0" borderId="0" xfId="0"/>
    <xf numFmtId="0" fontId="4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NumberFormat="1" applyFont="1" applyFill="1" applyBorder="1" applyAlignment="1" applyProtection="1">
      <alignment horizontal="left" vertical="center" wrapText="1"/>
      <protection locked="0"/>
    </xf>
    <xf numFmtId="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 applyProtection="1">
      <alignment horizontal="center" vertical="top" wrapText="1"/>
      <protection locked="0"/>
    </xf>
    <xf numFmtId="0" fontId="4" fillId="2" borderId="5" xfId="1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8" fillId="2" borderId="0" xfId="0" applyNumberFormat="1" applyFont="1" applyFill="1"/>
    <xf numFmtId="4" fontId="9" fillId="2" borderId="0" xfId="0" applyNumberFormat="1" applyFont="1" applyFill="1"/>
    <xf numFmtId="0" fontId="10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2" fillId="2" borderId="0" xfId="0" applyFont="1" applyFill="1"/>
    <xf numFmtId="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/>
    <xf numFmtId="4" fontId="1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6" xfId="0" applyNumberFormat="1" applyFont="1" applyFill="1" applyBorder="1" applyAlignment="1" applyProtection="1">
      <alignment horizontal="left" vertical="center" wrapText="1"/>
      <protection locked="0"/>
    </xf>
    <xf numFmtId="0" fontId="2" fillId="2" borderId="8" xfId="0" applyNumberFormat="1" applyFont="1" applyFill="1" applyBorder="1" applyAlignment="1" applyProtection="1">
      <alignment horizontal="left" vertical="center" wrapText="1"/>
      <protection locked="0"/>
    </xf>
    <xf numFmtId="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3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8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6" xfId="0" applyNumberFormat="1" applyFont="1" applyFill="1" applyBorder="1" applyAlignment="1" applyProtection="1">
      <alignment horizontal="center" vertical="top"/>
      <protection locked="0"/>
    </xf>
    <xf numFmtId="0" fontId="5" fillId="2" borderId="2" xfId="0" applyNumberFormat="1" applyFont="1" applyFill="1" applyBorder="1" applyAlignment="1" applyProtection="1">
      <alignment horizontal="center" vertical="top"/>
      <protection locked="0"/>
    </xf>
    <xf numFmtId="0" fontId="5" fillId="2" borderId="7" xfId="0" applyNumberFormat="1" applyFont="1" applyFill="1" applyBorder="1" applyAlignment="1" applyProtection="1">
      <alignment horizontal="center" vertical="top"/>
      <protection locked="0"/>
    </xf>
    <xf numFmtId="0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NumberFormat="1" applyFont="1" applyFill="1" applyBorder="1" applyAlignment="1" applyProtection="1">
      <alignment horizontal="right" vertical="center"/>
      <protection locked="0"/>
    </xf>
    <xf numFmtId="0" fontId="5" fillId="2" borderId="11" xfId="0" applyNumberFormat="1" applyFont="1" applyFill="1" applyBorder="1" applyAlignment="1" applyProtection="1">
      <alignment horizontal="right" vertical="center"/>
      <protection locked="0"/>
    </xf>
    <xf numFmtId="0" fontId="7" fillId="2" borderId="14" xfId="0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horizontal="right" vertical="center" wrapText="1"/>
    </xf>
    <xf numFmtId="0" fontId="7" fillId="2" borderId="20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32" xfId="0" applyFont="1" applyFill="1" applyBorder="1" applyAlignment="1">
      <alignment horizontal="center" vertical="top" wrapText="1"/>
    </xf>
    <xf numFmtId="0" fontId="7" fillId="2" borderId="3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CCFF66"/>
      <color rgb="FF99FF33"/>
      <color rgb="FFFDE0C3"/>
      <color rgb="FFC5E5CD"/>
      <color rgb="FFD6FEEE"/>
      <color rgb="FFF0F5FE"/>
      <color rgb="FFC5E9E5"/>
      <color rgb="FFFEE8FB"/>
      <color rgb="FFCFF5FD"/>
      <color rgb="FFC9E5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3"/>
  <sheetViews>
    <sheetView tabSelected="1" zoomScale="80" zoomScaleNormal="80" workbookViewId="0">
      <selection activeCell="L669" sqref="L669"/>
    </sheetView>
  </sheetViews>
  <sheetFormatPr defaultColWidth="8.85546875" defaultRowHeight="15" x14ac:dyDescent="0.25"/>
  <cols>
    <col min="1" max="1" width="4" style="20" customWidth="1"/>
    <col min="2" max="2" width="18.7109375" style="20" customWidth="1"/>
    <col min="3" max="3" width="22" style="12" customWidth="1"/>
    <col min="4" max="4" width="93.85546875" style="12" customWidth="1"/>
    <col min="5" max="5" width="18.5703125" style="14" customWidth="1"/>
    <col min="6" max="6" width="18.7109375" style="14" customWidth="1"/>
    <col min="7" max="7" width="31" style="12" customWidth="1"/>
    <col min="8" max="8" width="18" style="14" customWidth="1"/>
    <col min="9" max="16384" width="8.85546875" style="12"/>
  </cols>
  <sheetData>
    <row r="1" spans="1:10" ht="12.75" customHeight="1" x14ac:dyDescent="0.25">
      <c r="A1" s="79" t="s">
        <v>716</v>
      </c>
      <c r="B1" s="80"/>
      <c r="C1" s="80"/>
      <c r="D1" s="80"/>
      <c r="E1" s="80"/>
      <c r="F1" s="80"/>
      <c r="G1" s="80"/>
      <c r="H1" s="81"/>
    </row>
    <row r="2" spans="1:10" ht="7.5" customHeight="1" x14ac:dyDescent="0.25">
      <c r="A2" s="82"/>
      <c r="B2" s="83"/>
      <c r="C2" s="83"/>
      <c r="D2" s="83"/>
      <c r="E2" s="83"/>
      <c r="F2" s="83"/>
      <c r="G2" s="83"/>
      <c r="H2" s="84"/>
    </row>
    <row r="3" spans="1:10" ht="60" x14ac:dyDescent="0.35">
      <c r="A3" s="17" t="s">
        <v>0</v>
      </c>
      <c r="B3" s="17" t="s">
        <v>1</v>
      </c>
      <c r="C3" s="9" t="s">
        <v>377</v>
      </c>
      <c r="D3" s="9" t="s">
        <v>2</v>
      </c>
      <c r="E3" s="8" t="s">
        <v>3</v>
      </c>
      <c r="F3" s="8" t="s">
        <v>4</v>
      </c>
      <c r="G3" s="23" t="s">
        <v>5</v>
      </c>
      <c r="H3" s="8" t="s">
        <v>6</v>
      </c>
      <c r="J3" s="28"/>
    </row>
    <row r="4" spans="1:10" ht="15.75" customHeight="1" thickBot="1" x14ac:dyDescent="0.3">
      <c r="A4" s="18">
        <v>1</v>
      </c>
      <c r="B4" s="19">
        <v>2</v>
      </c>
      <c r="C4" s="1">
        <v>3</v>
      </c>
      <c r="D4" s="2">
        <v>4</v>
      </c>
      <c r="E4" s="10">
        <v>5</v>
      </c>
      <c r="F4" s="10">
        <v>6</v>
      </c>
      <c r="G4" s="11">
        <v>7</v>
      </c>
      <c r="H4" s="10">
        <v>8</v>
      </c>
    </row>
    <row r="5" spans="1:10" ht="23.25" customHeight="1" x14ac:dyDescent="0.25">
      <c r="A5" s="44">
        <v>1</v>
      </c>
      <c r="B5" s="46" t="s">
        <v>7</v>
      </c>
      <c r="C5" s="3" t="s">
        <v>8</v>
      </c>
      <c r="D5" s="3" t="s">
        <v>9</v>
      </c>
      <c r="E5" s="4">
        <f>E6</f>
        <v>0</v>
      </c>
      <c r="F5" s="4">
        <f>F6</f>
        <v>0</v>
      </c>
      <c r="G5" s="4" t="s">
        <v>10</v>
      </c>
      <c r="H5" s="4">
        <f>H6</f>
        <v>0</v>
      </c>
    </row>
    <row r="6" spans="1:10" ht="24" customHeight="1" x14ac:dyDescent="0.25">
      <c r="A6" s="45"/>
      <c r="B6" s="47"/>
      <c r="C6" s="5" t="s">
        <v>11</v>
      </c>
      <c r="D6" s="5" t="s">
        <v>12</v>
      </c>
      <c r="E6" s="6">
        <f>0</f>
        <v>0</v>
      </c>
      <c r="F6" s="6">
        <f>0</f>
        <v>0</v>
      </c>
      <c r="G6" s="6" t="s">
        <v>10</v>
      </c>
      <c r="H6" s="6">
        <f>0</f>
        <v>0</v>
      </c>
    </row>
    <row r="7" spans="1:10" ht="15.75" customHeight="1" x14ac:dyDescent="0.25">
      <c r="A7" s="45"/>
      <c r="B7" s="47"/>
      <c r="C7" s="3" t="s">
        <v>13</v>
      </c>
      <c r="D7" s="3" t="s">
        <v>14</v>
      </c>
      <c r="E7" s="4">
        <f>E8</f>
        <v>970</v>
      </c>
      <c r="F7" s="4">
        <f>F8</f>
        <v>380</v>
      </c>
      <c r="G7" s="4" t="s">
        <v>714</v>
      </c>
      <c r="H7" s="4">
        <f>H8</f>
        <v>380</v>
      </c>
    </row>
    <row r="8" spans="1:10" ht="15.75" customHeight="1" x14ac:dyDescent="0.25">
      <c r="A8" s="45"/>
      <c r="B8" s="47"/>
      <c r="C8" s="5" t="s">
        <v>11</v>
      </c>
      <c r="D8" s="5" t="s">
        <v>15</v>
      </c>
      <c r="E8" s="6">
        <f>E9+E10</f>
        <v>970</v>
      </c>
      <c r="F8" s="6">
        <f>F9+F10</f>
        <v>380</v>
      </c>
      <c r="G8" s="6" t="s">
        <v>714</v>
      </c>
      <c r="H8" s="6">
        <f>H9+H10</f>
        <v>380</v>
      </c>
    </row>
    <row r="9" spans="1:10" ht="16.5" customHeight="1" x14ac:dyDescent="0.25">
      <c r="A9" s="45"/>
      <c r="B9" s="47"/>
      <c r="C9" s="7" t="s">
        <v>256</v>
      </c>
      <c r="D9" s="5" t="s">
        <v>16</v>
      </c>
      <c r="E9" s="6">
        <f>0</f>
        <v>0</v>
      </c>
      <c r="F9" s="6">
        <f>0</f>
        <v>0</v>
      </c>
      <c r="G9" s="6" t="s">
        <v>10</v>
      </c>
      <c r="H9" s="6">
        <f>0</f>
        <v>0</v>
      </c>
    </row>
    <row r="10" spans="1:10" ht="23.25" customHeight="1" x14ac:dyDescent="0.25">
      <c r="A10" s="45"/>
      <c r="B10" s="47"/>
      <c r="C10" s="7" t="s">
        <v>257</v>
      </c>
      <c r="D10" s="5" t="s">
        <v>17</v>
      </c>
      <c r="E10" s="6">
        <f>970</f>
        <v>970</v>
      </c>
      <c r="F10" s="6">
        <f>380</f>
        <v>380</v>
      </c>
      <c r="G10" s="6" t="s">
        <v>714</v>
      </c>
      <c r="H10" s="6">
        <f>380</f>
        <v>380</v>
      </c>
    </row>
    <row r="11" spans="1:10" ht="21" customHeight="1" thickBot="1" x14ac:dyDescent="0.3">
      <c r="A11" s="48" t="s">
        <v>18</v>
      </c>
      <c r="B11" s="49"/>
      <c r="C11" s="49"/>
      <c r="D11" s="50"/>
      <c r="E11" s="34">
        <f>E5+E7</f>
        <v>970</v>
      </c>
      <c r="F11" s="34">
        <f>F5+F7</f>
        <v>380</v>
      </c>
      <c r="G11" s="35" t="s">
        <v>714</v>
      </c>
      <c r="H11" s="36">
        <f>H5+H7</f>
        <v>380</v>
      </c>
    </row>
    <row r="12" spans="1:10" ht="18.75" customHeight="1" x14ac:dyDescent="0.25">
      <c r="A12" s="51">
        <v>2</v>
      </c>
      <c r="B12" s="52" t="s">
        <v>19</v>
      </c>
      <c r="C12" s="3" t="s">
        <v>20</v>
      </c>
      <c r="D12" s="3" t="s">
        <v>236</v>
      </c>
      <c r="E12" s="4">
        <f>E13</f>
        <v>11992.5</v>
      </c>
      <c r="F12" s="4">
        <f>F13</f>
        <v>7887.51</v>
      </c>
      <c r="G12" s="4" t="s">
        <v>717</v>
      </c>
      <c r="H12" s="4">
        <f>H13</f>
        <v>7887.51</v>
      </c>
    </row>
    <row r="13" spans="1:10" ht="17.25" customHeight="1" x14ac:dyDescent="0.25">
      <c r="A13" s="51"/>
      <c r="B13" s="52"/>
      <c r="C13" s="5" t="s">
        <v>21</v>
      </c>
      <c r="D13" s="5" t="s">
        <v>22</v>
      </c>
      <c r="E13" s="6">
        <f>E14+E18</f>
        <v>11992.5</v>
      </c>
      <c r="F13" s="6">
        <f>F14+F18</f>
        <v>7887.51</v>
      </c>
      <c r="G13" s="6" t="s">
        <v>717</v>
      </c>
      <c r="H13" s="6">
        <f>H14+H18</f>
        <v>7887.51</v>
      </c>
    </row>
    <row r="14" spans="1:10" ht="18" customHeight="1" x14ac:dyDescent="0.25">
      <c r="A14" s="51"/>
      <c r="B14" s="52"/>
      <c r="C14" s="7" t="s">
        <v>258</v>
      </c>
      <c r="D14" s="5" t="s">
        <v>23</v>
      </c>
      <c r="E14" s="6">
        <f>E15+E16+E17</f>
        <v>11992.5</v>
      </c>
      <c r="F14" s="6">
        <f>F15+F16+F17</f>
        <v>7887.51</v>
      </c>
      <c r="G14" s="6" t="s">
        <v>717</v>
      </c>
      <c r="H14" s="6">
        <f>H15+H16+H17</f>
        <v>7887.51</v>
      </c>
    </row>
    <row r="15" spans="1:10" ht="18.75" customHeight="1" x14ac:dyDescent="0.25">
      <c r="A15" s="51"/>
      <c r="B15" s="52"/>
      <c r="C15" s="7" t="s">
        <v>259</v>
      </c>
      <c r="D15" s="5" t="s">
        <v>193</v>
      </c>
      <c r="E15" s="6">
        <f>11992.5</f>
        <v>11992.5</v>
      </c>
      <c r="F15" s="6">
        <f>7887.51</f>
        <v>7887.51</v>
      </c>
      <c r="G15" s="6" t="s">
        <v>717</v>
      </c>
      <c r="H15" s="6">
        <f>7887.51</f>
        <v>7887.51</v>
      </c>
    </row>
    <row r="16" spans="1:10" ht="18" customHeight="1" x14ac:dyDescent="0.25">
      <c r="A16" s="51"/>
      <c r="B16" s="52"/>
      <c r="C16" s="7" t="s">
        <v>260</v>
      </c>
      <c r="D16" s="5" t="s">
        <v>194</v>
      </c>
      <c r="E16" s="6">
        <f>0</f>
        <v>0</v>
      </c>
      <c r="F16" s="6">
        <f>0</f>
        <v>0</v>
      </c>
      <c r="G16" s="6" t="s">
        <v>10</v>
      </c>
      <c r="H16" s="6">
        <f>0</f>
        <v>0</v>
      </c>
    </row>
    <row r="17" spans="1:8" ht="18" customHeight="1" x14ac:dyDescent="0.25">
      <c r="A17" s="51"/>
      <c r="B17" s="52"/>
      <c r="C17" s="7" t="s">
        <v>261</v>
      </c>
      <c r="D17" s="5" t="s">
        <v>195</v>
      </c>
      <c r="E17" s="6">
        <f>0</f>
        <v>0</v>
      </c>
      <c r="F17" s="6">
        <f>0</f>
        <v>0</v>
      </c>
      <c r="G17" s="6" t="s">
        <v>10</v>
      </c>
      <c r="H17" s="6">
        <f>0</f>
        <v>0</v>
      </c>
    </row>
    <row r="18" spans="1:8" ht="18" customHeight="1" x14ac:dyDescent="0.25">
      <c r="A18" s="51"/>
      <c r="B18" s="52"/>
      <c r="C18" s="7" t="s">
        <v>262</v>
      </c>
      <c r="D18" s="5" t="s">
        <v>24</v>
      </c>
      <c r="E18" s="6">
        <f>0</f>
        <v>0</v>
      </c>
      <c r="F18" s="6">
        <f>0</f>
        <v>0</v>
      </c>
      <c r="G18" s="6" t="s">
        <v>10</v>
      </c>
      <c r="H18" s="6">
        <f>0</f>
        <v>0</v>
      </c>
    </row>
    <row r="19" spans="1:8" ht="18" customHeight="1" x14ac:dyDescent="0.25">
      <c r="A19" s="51"/>
      <c r="B19" s="52"/>
      <c r="C19" s="3" t="s">
        <v>25</v>
      </c>
      <c r="D19" s="3" t="s">
        <v>237</v>
      </c>
      <c r="E19" s="4">
        <f>E20</f>
        <v>32921.93</v>
      </c>
      <c r="F19" s="4">
        <f>F20</f>
        <v>21723.98</v>
      </c>
      <c r="G19" s="4" t="s">
        <v>718</v>
      </c>
      <c r="H19" s="4">
        <f>H20</f>
        <v>21723.98</v>
      </c>
    </row>
    <row r="20" spans="1:8" ht="19.5" customHeight="1" x14ac:dyDescent="0.25">
      <c r="A20" s="51"/>
      <c r="B20" s="52"/>
      <c r="C20" s="5" t="s">
        <v>21</v>
      </c>
      <c r="D20" s="5" t="s">
        <v>26</v>
      </c>
      <c r="E20" s="6">
        <f>E21+E25+E26+E27+E28</f>
        <v>32921.93</v>
      </c>
      <c r="F20" s="6">
        <f>F21+F25+F26+F27+F28</f>
        <v>21723.98</v>
      </c>
      <c r="G20" s="6" t="s">
        <v>718</v>
      </c>
      <c r="H20" s="6">
        <f>H21+H25+H26+H27+H28</f>
        <v>21723.98</v>
      </c>
    </row>
    <row r="21" spans="1:8" ht="19.5" customHeight="1" x14ac:dyDescent="0.25">
      <c r="A21" s="51"/>
      <c r="B21" s="52"/>
      <c r="C21" s="7" t="s">
        <v>262</v>
      </c>
      <c r="D21" s="5" t="s">
        <v>27</v>
      </c>
      <c r="E21" s="6">
        <f>E22+E23+E24</f>
        <v>32018.880000000001</v>
      </c>
      <c r="F21" s="6">
        <f>F22+F23+F24</f>
        <v>21021.14</v>
      </c>
      <c r="G21" s="6" t="s">
        <v>719</v>
      </c>
      <c r="H21" s="6">
        <f>H22+H23+H24</f>
        <v>21021.14</v>
      </c>
    </row>
    <row r="22" spans="1:8" ht="19.5" customHeight="1" x14ac:dyDescent="0.25">
      <c r="A22" s="51"/>
      <c r="B22" s="52"/>
      <c r="C22" s="7" t="s">
        <v>263</v>
      </c>
      <c r="D22" s="5" t="s">
        <v>193</v>
      </c>
      <c r="E22" s="6">
        <f>31918.65</f>
        <v>31918.65</v>
      </c>
      <c r="F22" s="6">
        <f>21021.14</f>
        <v>21021.14</v>
      </c>
      <c r="G22" s="6" t="s">
        <v>717</v>
      </c>
      <c r="H22" s="6">
        <f>21021.14</f>
        <v>21021.14</v>
      </c>
    </row>
    <row r="23" spans="1:8" ht="18" customHeight="1" x14ac:dyDescent="0.25">
      <c r="A23" s="51"/>
      <c r="B23" s="52"/>
      <c r="C23" s="7" t="s">
        <v>264</v>
      </c>
      <c r="D23" s="5" t="s">
        <v>194</v>
      </c>
      <c r="E23" s="6">
        <f>0</f>
        <v>0</v>
      </c>
      <c r="F23" s="6">
        <f>0</f>
        <v>0</v>
      </c>
      <c r="G23" s="6" t="s">
        <v>10</v>
      </c>
      <c r="H23" s="6">
        <f>0</f>
        <v>0</v>
      </c>
    </row>
    <row r="24" spans="1:8" ht="18.75" customHeight="1" x14ac:dyDescent="0.25">
      <c r="A24" s="51"/>
      <c r="B24" s="52"/>
      <c r="C24" s="7" t="s">
        <v>265</v>
      </c>
      <c r="D24" s="5" t="s">
        <v>195</v>
      </c>
      <c r="E24" s="6">
        <f>100.23</f>
        <v>100.23</v>
      </c>
      <c r="F24" s="6">
        <f>0</f>
        <v>0</v>
      </c>
      <c r="G24" s="6" t="s">
        <v>47</v>
      </c>
      <c r="H24" s="6">
        <f>0</f>
        <v>0</v>
      </c>
    </row>
    <row r="25" spans="1:8" ht="17.25" customHeight="1" x14ac:dyDescent="0.25">
      <c r="A25" s="51"/>
      <c r="B25" s="52"/>
      <c r="C25" s="7" t="s">
        <v>266</v>
      </c>
      <c r="D25" s="5" t="s">
        <v>28</v>
      </c>
      <c r="E25" s="6">
        <f>0</f>
        <v>0</v>
      </c>
      <c r="F25" s="6">
        <f>0</f>
        <v>0</v>
      </c>
      <c r="G25" s="6" t="s">
        <v>10</v>
      </c>
      <c r="H25" s="6">
        <f>0</f>
        <v>0</v>
      </c>
    </row>
    <row r="26" spans="1:8" ht="24" x14ac:dyDescent="0.25">
      <c r="A26" s="51"/>
      <c r="B26" s="52"/>
      <c r="C26" s="7" t="s">
        <v>267</v>
      </c>
      <c r="D26" s="5" t="s">
        <v>347</v>
      </c>
      <c r="E26" s="6">
        <f>169.39+298.73+234.72</f>
        <v>702.84</v>
      </c>
      <c r="F26" s="6">
        <f>169.39+298.73+234.72</f>
        <v>702.84</v>
      </c>
      <c r="G26" s="6" t="s">
        <v>282</v>
      </c>
      <c r="H26" s="6">
        <f>169.39+298.73+234.72</f>
        <v>702.84</v>
      </c>
    </row>
    <row r="27" spans="1:8" ht="24" x14ac:dyDescent="0.25">
      <c r="A27" s="51"/>
      <c r="B27" s="52"/>
      <c r="C27" s="7" t="s">
        <v>284</v>
      </c>
      <c r="D27" s="5" t="s">
        <v>346</v>
      </c>
      <c r="E27" s="6">
        <f>200.21</f>
        <v>200.21</v>
      </c>
      <c r="F27" s="6">
        <f>0</f>
        <v>0</v>
      </c>
      <c r="G27" s="6" t="s">
        <v>47</v>
      </c>
      <c r="H27" s="6">
        <f>0</f>
        <v>0</v>
      </c>
    </row>
    <row r="28" spans="1:8" ht="24" x14ac:dyDescent="0.25">
      <c r="A28" s="51"/>
      <c r="B28" s="52"/>
      <c r="C28" s="7" t="s">
        <v>344</v>
      </c>
      <c r="D28" s="5" t="s">
        <v>347</v>
      </c>
      <c r="E28" s="6">
        <f>0</f>
        <v>0</v>
      </c>
      <c r="F28" s="6">
        <f>0</f>
        <v>0</v>
      </c>
      <c r="G28" s="6" t="s">
        <v>10</v>
      </c>
      <c r="H28" s="6">
        <f>0</f>
        <v>0</v>
      </c>
    </row>
    <row r="29" spans="1:8" ht="24" x14ac:dyDescent="0.25">
      <c r="A29" s="51"/>
      <c r="B29" s="52"/>
      <c r="C29" s="3" t="s">
        <v>29</v>
      </c>
      <c r="D29" s="3" t="s">
        <v>238</v>
      </c>
      <c r="E29" s="4">
        <f>E30</f>
        <v>95282.47</v>
      </c>
      <c r="F29" s="4">
        <f>F30</f>
        <v>62468.78</v>
      </c>
      <c r="G29" s="4" t="s">
        <v>719</v>
      </c>
      <c r="H29" s="4">
        <f>H30</f>
        <v>62468.78</v>
      </c>
    </row>
    <row r="30" spans="1:8" ht="18" customHeight="1" x14ac:dyDescent="0.25">
      <c r="A30" s="51"/>
      <c r="B30" s="52"/>
      <c r="C30" s="5" t="s">
        <v>30</v>
      </c>
      <c r="D30" s="5" t="s">
        <v>31</v>
      </c>
      <c r="E30" s="6">
        <f>E31+E32+E33</f>
        <v>95282.47</v>
      </c>
      <c r="F30" s="6">
        <f>F31+F32+F33</f>
        <v>62468.78</v>
      </c>
      <c r="G30" s="6" t="s">
        <v>719</v>
      </c>
      <c r="H30" s="6">
        <f>H31+H32+H33</f>
        <v>62468.78</v>
      </c>
    </row>
    <row r="31" spans="1:8" x14ac:dyDescent="0.25">
      <c r="A31" s="51"/>
      <c r="B31" s="52"/>
      <c r="C31" s="7" t="s">
        <v>268</v>
      </c>
      <c r="D31" s="5" t="s">
        <v>32</v>
      </c>
      <c r="E31" s="6">
        <f>63553.38</f>
        <v>63553.38</v>
      </c>
      <c r="F31" s="6">
        <f>40755.54</f>
        <v>40755.54</v>
      </c>
      <c r="G31" s="6" t="s">
        <v>720</v>
      </c>
      <c r="H31" s="6">
        <f>40755.54</f>
        <v>40755.54</v>
      </c>
    </row>
    <row r="32" spans="1:8" x14ac:dyDescent="0.25">
      <c r="A32" s="51"/>
      <c r="B32" s="52"/>
      <c r="C32" s="7" t="s">
        <v>269</v>
      </c>
      <c r="D32" s="5" t="s">
        <v>33</v>
      </c>
      <c r="E32" s="6">
        <f>448.97</f>
        <v>448.97</v>
      </c>
      <c r="F32" s="6">
        <f>448.97</f>
        <v>448.97</v>
      </c>
      <c r="G32" s="6" t="s">
        <v>282</v>
      </c>
      <c r="H32" s="6">
        <f>448.97</f>
        <v>448.97</v>
      </c>
    </row>
    <row r="33" spans="1:8" x14ac:dyDescent="0.25">
      <c r="A33" s="51"/>
      <c r="B33" s="52"/>
      <c r="C33" s="7" t="s">
        <v>270</v>
      </c>
      <c r="D33" s="5" t="s">
        <v>34</v>
      </c>
      <c r="E33" s="6">
        <f>31280.12</f>
        <v>31280.12</v>
      </c>
      <c r="F33" s="6">
        <f>21264.27</f>
        <v>21264.27</v>
      </c>
      <c r="G33" s="6" t="s">
        <v>721</v>
      </c>
      <c r="H33" s="6">
        <f>21264.27</f>
        <v>21264.27</v>
      </c>
    </row>
    <row r="34" spans="1:8" ht="24" x14ac:dyDescent="0.25">
      <c r="A34" s="51"/>
      <c r="B34" s="52"/>
      <c r="C34" s="3" t="s">
        <v>13</v>
      </c>
      <c r="D34" s="3" t="s">
        <v>239</v>
      </c>
      <c r="E34" s="4">
        <f>E35</f>
        <v>0</v>
      </c>
      <c r="F34" s="4">
        <f>F35</f>
        <v>0</v>
      </c>
      <c r="G34" s="4" t="s">
        <v>10</v>
      </c>
      <c r="H34" s="4">
        <f>H35</f>
        <v>0</v>
      </c>
    </row>
    <row r="35" spans="1:8" x14ac:dyDescent="0.25">
      <c r="A35" s="51"/>
      <c r="B35" s="52"/>
      <c r="C35" s="5" t="s">
        <v>232</v>
      </c>
      <c r="D35" s="5" t="s">
        <v>84</v>
      </c>
      <c r="E35" s="6">
        <f>0</f>
        <v>0</v>
      </c>
      <c r="F35" s="6">
        <f>0</f>
        <v>0</v>
      </c>
      <c r="G35" s="6" t="s">
        <v>10</v>
      </c>
      <c r="H35" s="6">
        <f>0</f>
        <v>0</v>
      </c>
    </row>
    <row r="36" spans="1:8" ht="21.75" customHeight="1" x14ac:dyDescent="0.25">
      <c r="A36" s="51"/>
      <c r="B36" s="52"/>
      <c r="C36" s="3" t="s">
        <v>169</v>
      </c>
      <c r="D36" s="3" t="s">
        <v>240</v>
      </c>
      <c r="E36" s="4">
        <f>E37</f>
        <v>85937.81</v>
      </c>
      <c r="F36" s="4">
        <f>F37</f>
        <v>58295.29</v>
      </c>
      <c r="G36" s="4" t="s">
        <v>617</v>
      </c>
      <c r="H36" s="4">
        <f>H37</f>
        <v>58295.29</v>
      </c>
    </row>
    <row r="37" spans="1:8" ht="18" customHeight="1" x14ac:dyDescent="0.25">
      <c r="A37" s="51"/>
      <c r="B37" s="52"/>
      <c r="C37" s="5" t="s">
        <v>21</v>
      </c>
      <c r="D37" s="5" t="s">
        <v>389</v>
      </c>
      <c r="E37" s="6">
        <f>E38+E42+E43</f>
        <v>85937.81</v>
      </c>
      <c r="F37" s="6">
        <f>F38+F42+F43</f>
        <v>58295.29</v>
      </c>
      <c r="G37" s="6" t="s">
        <v>617</v>
      </c>
      <c r="H37" s="6">
        <f>H38+H42+H43</f>
        <v>58295.29</v>
      </c>
    </row>
    <row r="38" spans="1:8" ht="24" x14ac:dyDescent="0.25">
      <c r="A38" s="51"/>
      <c r="B38" s="52"/>
      <c r="C38" s="7" t="s">
        <v>258</v>
      </c>
      <c r="D38" s="5" t="s">
        <v>390</v>
      </c>
      <c r="E38" s="6">
        <f>E39+E40+E41</f>
        <v>79609.81</v>
      </c>
      <c r="F38" s="6">
        <f>F39+F40+F41</f>
        <v>56003.770000000004</v>
      </c>
      <c r="G38" s="6" t="s">
        <v>722</v>
      </c>
      <c r="H38" s="6">
        <f>H39+H40+H41</f>
        <v>56003.770000000004</v>
      </c>
    </row>
    <row r="39" spans="1:8" ht="24" x14ac:dyDescent="0.25">
      <c r="A39" s="51"/>
      <c r="B39" s="52"/>
      <c r="C39" s="7" t="s">
        <v>259</v>
      </c>
      <c r="D39" s="5" t="s">
        <v>241</v>
      </c>
      <c r="E39" s="6">
        <f>76204.81</f>
        <v>76204.81</v>
      </c>
      <c r="F39" s="6">
        <f>54314.73</f>
        <v>54314.73</v>
      </c>
      <c r="G39" s="6" t="s">
        <v>723</v>
      </c>
      <c r="H39" s="6">
        <f>54314.73</f>
        <v>54314.73</v>
      </c>
    </row>
    <row r="40" spans="1:8" ht="18" customHeight="1" x14ac:dyDescent="0.25">
      <c r="A40" s="51"/>
      <c r="B40" s="52"/>
      <c r="C40" s="7" t="s">
        <v>260</v>
      </c>
      <c r="D40" s="5" t="s">
        <v>196</v>
      </c>
      <c r="E40" s="6">
        <f>1245</f>
        <v>1245</v>
      </c>
      <c r="F40" s="6">
        <f>69.04</f>
        <v>69.040000000000006</v>
      </c>
      <c r="G40" s="6" t="s">
        <v>419</v>
      </c>
      <c r="H40" s="6">
        <f>69.04</f>
        <v>69.040000000000006</v>
      </c>
    </row>
    <row r="41" spans="1:8" ht="18" customHeight="1" x14ac:dyDescent="0.25">
      <c r="A41" s="51"/>
      <c r="B41" s="52"/>
      <c r="C41" s="7" t="s">
        <v>261</v>
      </c>
      <c r="D41" s="5" t="s">
        <v>197</v>
      </c>
      <c r="E41" s="6">
        <f>2160</f>
        <v>2160</v>
      </c>
      <c r="F41" s="6">
        <f>1620</f>
        <v>1620</v>
      </c>
      <c r="G41" s="6" t="s">
        <v>466</v>
      </c>
      <c r="H41" s="6">
        <f>1620</f>
        <v>1620</v>
      </c>
    </row>
    <row r="42" spans="1:8" ht="24" x14ac:dyDescent="0.25">
      <c r="A42" s="51"/>
      <c r="B42" s="52"/>
      <c r="C42" s="7" t="s">
        <v>262</v>
      </c>
      <c r="D42" s="5" t="s">
        <v>391</v>
      </c>
      <c r="E42" s="6">
        <f>0</f>
        <v>0</v>
      </c>
      <c r="F42" s="6">
        <f>0</f>
        <v>0</v>
      </c>
      <c r="G42" s="6" t="s">
        <v>10</v>
      </c>
      <c r="H42" s="6">
        <f>0</f>
        <v>0</v>
      </c>
    </row>
    <row r="43" spans="1:8" ht="24" x14ac:dyDescent="0.25">
      <c r="A43" s="51"/>
      <c r="B43" s="52"/>
      <c r="C43" s="7" t="s">
        <v>271</v>
      </c>
      <c r="D43" s="5" t="s">
        <v>420</v>
      </c>
      <c r="E43" s="6">
        <f>6328</f>
        <v>6328</v>
      </c>
      <c r="F43" s="6">
        <f>2291.52</f>
        <v>2291.52</v>
      </c>
      <c r="G43" s="6" t="s">
        <v>727</v>
      </c>
      <c r="H43" s="6">
        <f>2291.52</f>
        <v>2291.52</v>
      </c>
    </row>
    <row r="44" spans="1:8" ht="20.25" customHeight="1" x14ac:dyDescent="0.25">
      <c r="A44" s="51"/>
      <c r="B44" s="52"/>
      <c r="C44" s="3" t="s">
        <v>35</v>
      </c>
      <c r="D44" s="3" t="s">
        <v>242</v>
      </c>
      <c r="E44" s="4">
        <f>E45+E46</f>
        <v>2425</v>
      </c>
      <c r="F44" s="4">
        <f>F45+F46</f>
        <v>1855.49</v>
      </c>
      <c r="G44" s="4" t="s">
        <v>724</v>
      </c>
      <c r="H44" s="4">
        <f>H45+H46</f>
        <v>1855.49</v>
      </c>
    </row>
    <row r="45" spans="1:8" x14ac:dyDescent="0.25">
      <c r="A45" s="51"/>
      <c r="B45" s="52"/>
      <c r="C45" s="5" t="s">
        <v>21</v>
      </c>
      <c r="D45" s="5" t="s">
        <v>198</v>
      </c>
      <c r="E45" s="6">
        <f>0</f>
        <v>0</v>
      </c>
      <c r="F45" s="6">
        <f>0</f>
        <v>0</v>
      </c>
      <c r="G45" s="6" t="s">
        <v>10</v>
      </c>
      <c r="H45" s="6">
        <f>0</f>
        <v>0</v>
      </c>
    </row>
    <row r="46" spans="1:8" ht="24" x14ac:dyDescent="0.25">
      <c r="A46" s="51"/>
      <c r="B46" s="52"/>
      <c r="C46" s="5" t="s">
        <v>36</v>
      </c>
      <c r="D46" s="5" t="s">
        <v>37</v>
      </c>
      <c r="E46" s="6">
        <f>E47</f>
        <v>2425</v>
      </c>
      <c r="F46" s="6">
        <f>F47</f>
        <v>1855.49</v>
      </c>
      <c r="G46" s="6" t="s">
        <v>724</v>
      </c>
      <c r="H46" s="6">
        <f>H47</f>
        <v>1855.49</v>
      </c>
    </row>
    <row r="47" spans="1:8" ht="24" x14ac:dyDescent="0.25">
      <c r="A47" s="51"/>
      <c r="B47" s="52"/>
      <c r="C47" s="7" t="s">
        <v>272</v>
      </c>
      <c r="D47" s="5" t="s">
        <v>38</v>
      </c>
      <c r="E47" s="6">
        <f>2425</f>
        <v>2425</v>
      </c>
      <c r="F47" s="6">
        <f>1855.49</f>
        <v>1855.49</v>
      </c>
      <c r="G47" s="6" t="s">
        <v>724</v>
      </c>
      <c r="H47" s="6">
        <f>1855.49</f>
        <v>1855.49</v>
      </c>
    </row>
    <row r="48" spans="1:8" ht="19.5" customHeight="1" x14ac:dyDescent="0.25">
      <c r="A48" s="51"/>
      <c r="B48" s="52"/>
      <c r="C48" s="3" t="s">
        <v>39</v>
      </c>
      <c r="D48" s="3" t="s">
        <v>40</v>
      </c>
      <c r="E48" s="4">
        <f>E49</f>
        <v>6844.73</v>
      </c>
      <c r="F48" s="4">
        <f>F49</f>
        <v>4195.43</v>
      </c>
      <c r="G48" s="4" t="s">
        <v>725</v>
      </c>
      <c r="H48" s="4">
        <f>H49</f>
        <v>4195.43</v>
      </c>
    </row>
    <row r="49" spans="1:8" ht="17.25" customHeight="1" x14ac:dyDescent="0.25">
      <c r="A49" s="51"/>
      <c r="B49" s="52"/>
      <c r="C49" s="5" t="s">
        <v>21</v>
      </c>
      <c r="D49" s="5" t="s">
        <v>41</v>
      </c>
      <c r="E49" s="6">
        <f>E50</f>
        <v>6844.73</v>
      </c>
      <c r="F49" s="6">
        <f>F50</f>
        <v>4195.43</v>
      </c>
      <c r="G49" s="6" t="s">
        <v>725</v>
      </c>
      <c r="H49" s="6">
        <f>H50</f>
        <v>4195.43</v>
      </c>
    </row>
    <row r="50" spans="1:8" ht="18" customHeight="1" x14ac:dyDescent="0.25">
      <c r="A50" s="51"/>
      <c r="B50" s="52"/>
      <c r="C50" s="7" t="s">
        <v>258</v>
      </c>
      <c r="D50" s="5" t="s">
        <v>42</v>
      </c>
      <c r="E50" s="6">
        <f>6844.73</f>
        <v>6844.73</v>
      </c>
      <c r="F50" s="6">
        <f>4195.43</f>
        <v>4195.43</v>
      </c>
      <c r="G50" s="6" t="s">
        <v>725</v>
      </c>
      <c r="H50" s="6">
        <f>4195.43</f>
        <v>4195.43</v>
      </c>
    </row>
    <row r="51" spans="1:8" ht="20.25" customHeight="1" x14ac:dyDescent="0.25">
      <c r="A51" s="51"/>
      <c r="B51" s="52"/>
      <c r="C51" s="3" t="s">
        <v>43</v>
      </c>
      <c r="D51" s="3" t="s">
        <v>44</v>
      </c>
      <c r="E51" s="4">
        <f>E52</f>
        <v>0</v>
      </c>
      <c r="F51" s="4">
        <f>F52</f>
        <v>0</v>
      </c>
      <c r="G51" s="4" t="s">
        <v>10</v>
      </c>
      <c r="H51" s="4">
        <f>H52</f>
        <v>0</v>
      </c>
    </row>
    <row r="52" spans="1:8" ht="18" customHeight="1" x14ac:dyDescent="0.25">
      <c r="A52" s="51"/>
      <c r="B52" s="52"/>
      <c r="C52" s="5" t="s">
        <v>21</v>
      </c>
      <c r="D52" s="5" t="s">
        <v>348</v>
      </c>
      <c r="E52" s="6">
        <f>0</f>
        <v>0</v>
      </c>
      <c r="F52" s="6">
        <f>0</f>
        <v>0</v>
      </c>
      <c r="G52" s="6" t="s">
        <v>10</v>
      </c>
      <c r="H52" s="6">
        <f>0</f>
        <v>0</v>
      </c>
    </row>
    <row r="53" spans="1:8" ht="21" customHeight="1" thickBot="1" x14ac:dyDescent="0.3">
      <c r="A53" s="41" t="s">
        <v>18</v>
      </c>
      <c r="B53" s="42"/>
      <c r="C53" s="42"/>
      <c r="D53" s="43"/>
      <c r="E53" s="37">
        <f>E12+E19+E29+E34+E36+E44+E48+E51</f>
        <v>235404.44</v>
      </c>
      <c r="F53" s="37">
        <f>F12+F19+F29+F34+F36+F44+F48+F51</f>
        <v>156426.47999999998</v>
      </c>
      <c r="G53" s="34" t="s">
        <v>726</v>
      </c>
      <c r="H53" s="37">
        <f>H12+H19+H29+H34+H36+H44+H48+H51</f>
        <v>156426.47999999998</v>
      </c>
    </row>
    <row r="54" spans="1:8" ht="19.5" customHeight="1" x14ac:dyDescent="0.25">
      <c r="A54" s="53">
        <v>3</v>
      </c>
      <c r="B54" s="55" t="s">
        <v>45</v>
      </c>
      <c r="C54" s="30" t="s">
        <v>8</v>
      </c>
      <c r="D54" s="30" t="s">
        <v>46</v>
      </c>
      <c r="E54" s="27">
        <f>E55+E59+E68</f>
        <v>385009.75</v>
      </c>
      <c r="F54" s="27">
        <f>F55+F59+F68</f>
        <v>207512.53000000003</v>
      </c>
      <c r="G54" s="27" t="s">
        <v>751</v>
      </c>
      <c r="H54" s="27">
        <f>H55+H59+H68</f>
        <v>207512.53000000003</v>
      </c>
    </row>
    <row r="55" spans="1:8" ht="18" customHeight="1" x14ac:dyDescent="0.25">
      <c r="A55" s="54"/>
      <c r="B55" s="56"/>
      <c r="C55" s="5" t="s">
        <v>21</v>
      </c>
      <c r="D55" s="5" t="s">
        <v>249</v>
      </c>
      <c r="E55" s="6">
        <f>E56+E57+E58</f>
        <v>117652</v>
      </c>
      <c r="F55" s="6">
        <f>F56+F57+F58</f>
        <v>58103.1</v>
      </c>
      <c r="G55" s="6" t="s">
        <v>728</v>
      </c>
      <c r="H55" s="6">
        <f>H56+H57+H58</f>
        <v>58103.1</v>
      </c>
    </row>
    <row r="56" spans="1:8" ht="24" x14ac:dyDescent="0.25">
      <c r="A56" s="54"/>
      <c r="B56" s="56"/>
      <c r="C56" s="7" t="s">
        <v>258</v>
      </c>
      <c r="D56" s="5" t="s">
        <v>48</v>
      </c>
      <c r="E56" s="6">
        <f>0</f>
        <v>0</v>
      </c>
      <c r="F56" s="6">
        <f>0</f>
        <v>0</v>
      </c>
      <c r="G56" s="6" t="s">
        <v>10</v>
      </c>
      <c r="H56" s="6">
        <f>0</f>
        <v>0</v>
      </c>
    </row>
    <row r="57" spans="1:8" ht="24" x14ac:dyDescent="0.25">
      <c r="A57" s="54"/>
      <c r="B57" s="56"/>
      <c r="C57" s="7" t="s">
        <v>262</v>
      </c>
      <c r="D57" s="5" t="s">
        <v>49</v>
      </c>
      <c r="E57" s="6">
        <f>0</f>
        <v>0</v>
      </c>
      <c r="F57" s="6">
        <f>0</f>
        <v>0</v>
      </c>
      <c r="G57" s="6" t="s">
        <v>10</v>
      </c>
      <c r="H57" s="6">
        <f>0</f>
        <v>0</v>
      </c>
    </row>
    <row r="58" spans="1:8" ht="24" x14ac:dyDescent="0.25">
      <c r="A58" s="54"/>
      <c r="B58" s="56"/>
      <c r="C58" s="7" t="s">
        <v>266</v>
      </c>
      <c r="D58" s="5" t="s">
        <v>50</v>
      </c>
      <c r="E58" s="6">
        <f>78364.91+39287.09</f>
        <v>117652</v>
      </c>
      <c r="F58" s="6">
        <f>43834.53+14268.57</f>
        <v>58103.1</v>
      </c>
      <c r="G58" s="6" t="s">
        <v>728</v>
      </c>
      <c r="H58" s="6">
        <f>43834.53+14268.57</f>
        <v>58103.1</v>
      </c>
    </row>
    <row r="59" spans="1:8" ht="17.25" customHeight="1" x14ac:dyDescent="0.25">
      <c r="A59" s="54"/>
      <c r="B59" s="56"/>
      <c r="C59" s="5" t="s">
        <v>36</v>
      </c>
      <c r="D59" s="5" t="s">
        <v>51</v>
      </c>
      <c r="E59" s="6">
        <f>E60+E61+E62+E63+E64+E65+E66+E67</f>
        <v>236789.71999999997</v>
      </c>
      <c r="F59" s="6">
        <f>F60+F61+F62+F63+F64+F65+F66+F67</f>
        <v>129896.88</v>
      </c>
      <c r="G59" s="6" t="s">
        <v>729</v>
      </c>
      <c r="H59" s="6">
        <f>H60+H61+H62+H63+H64+H65+H66+H67</f>
        <v>129896.88</v>
      </c>
    </row>
    <row r="60" spans="1:8" ht="17.25" customHeight="1" x14ac:dyDescent="0.25">
      <c r="A60" s="54"/>
      <c r="B60" s="56"/>
      <c r="C60" s="7" t="s">
        <v>272</v>
      </c>
      <c r="D60" s="5" t="s">
        <v>52</v>
      </c>
      <c r="E60" s="6">
        <f>0</f>
        <v>0</v>
      </c>
      <c r="F60" s="6">
        <f>0</f>
        <v>0</v>
      </c>
      <c r="G60" s="6" t="s">
        <v>10</v>
      </c>
      <c r="H60" s="6">
        <f>0</f>
        <v>0</v>
      </c>
    </row>
    <row r="61" spans="1:8" ht="48" x14ac:dyDescent="0.25">
      <c r="A61" s="54"/>
      <c r="B61" s="56"/>
      <c r="C61" s="7" t="s">
        <v>273</v>
      </c>
      <c r="D61" s="5" t="s">
        <v>53</v>
      </c>
      <c r="E61" s="6">
        <f>0</f>
        <v>0</v>
      </c>
      <c r="F61" s="6">
        <f>0</f>
        <v>0</v>
      </c>
      <c r="G61" s="6" t="s">
        <v>10</v>
      </c>
      <c r="H61" s="6">
        <f>0</f>
        <v>0</v>
      </c>
    </row>
    <row r="62" spans="1:8" ht="36" x14ac:dyDescent="0.25">
      <c r="A62" s="54"/>
      <c r="B62" s="56"/>
      <c r="C62" s="7" t="s">
        <v>274</v>
      </c>
      <c r="D62" s="5" t="s">
        <v>54</v>
      </c>
      <c r="E62" s="6">
        <f>0</f>
        <v>0</v>
      </c>
      <c r="F62" s="6">
        <f>0</f>
        <v>0</v>
      </c>
      <c r="G62" s="6" t="s">
        <v>10</v>
      </c>
      <c r="H62" s="6">
        <f>0</f>
        <v>0</v>
      </c>
    </row>
    <row r="63" spans="1:8" ht="24" x14ac:dyDescent="0.25">
      <c r="A63" s="54"/>
      <c r="B63" s="56"/>
      <c r="C63" s="7" t="s">
        <v>275</v>
      </c>
      <c r="D63" s="5" t="s">
        <v>55</v>
      </c>
      <c r="E63" s="6">
        <f>35399</f>
        <v>35399</v>
      </c>
      <c r="F63" s="6">
        <f>21838.91</f>
        <v>21838.91</v>
      </c>
      <c r="G63" s="6" t="s">
        <v>730</v>
      </c>
      <c r="H63" s="6">
        <f>21838.91</f>
        <v>21838.91</v>
      </c>
    </row>
    <row r="64" spans="1:8" ht="24" x14ac:dyDescent="0.25">
      <c r="A64" s="54"/>
      <c r="B64" s="56"/>
      <c r="C64" s="7" t="s">
        <v>276</v>
      </c>
      <c r="D64" s="5" t="s">
        <v>56</v>
      </c>
      <c r="E64" s="6">
        <f>167998.4</f>
        <v>167998.4</v>
      </c>
      <c r="F64" s="6">
        <f>88063.44</f>
        <v>88063.44</v>
      </c>
      <c r="G64" s="6" t="s">
        <v>731</v>
      </c>
      <c r="H64" s="6">
        <f>88063.44</f>
        <v>88063.44</v>
      </c>
    </row>
    <row r="65" spans="1:8" x14ac:dyDescent="0.25">
      <c r="A65" s="54"/>
      <c r="B65" s="56"/>
      <c r="C65" s="7" t="s">
        <v>277</v>
      </c>
      <c r="D65" s="5" t="s">
        <v>57</v>
      </c>
      <c r="E65" s="6">
        <f>6156.96</f>
        <v>6156.96</v>
      </c>
      <c r="F65" s="6">
        <f>1528.19</f>
        <v>1528.19</v>
      </c>
      <c r="G65" s="6" t="s">
        <v>412</v>
      </c>
      <c r="H65" s="6">
        <f>1528.19</f>
        <v>1528.19</v>
      </c>
    </row>
    <row r="66" spans="1:8" ht="19.5" customHeight="1" x14ac:dyDescent="0.25">
      <c r="A66" s="54"/>
      <c r="B66" s="56"/>
      <c r="C66" s="7" t="s">
        <v>278</v>
      </c>
      <c r="D66" s="5" t="s">
        <v>58</v>
      </c>
      <c r="E66" s="6">
        <f>27235.36</f>
        <v>27235.360000000001</v>
      </c>
      <c r="F66" s="6">
        <f>18466.34</f>
        <v>18466.34</v>
      </c>
      <c r="G66" s="6" t="s">
        <v>617</v>
      </c>
      <c r="H66" s="6">
        <f>18466.34</f>
        <v>18466.34</v>
      </c>
    </row>
    <row r="67" spans="1:8" x14ac:dyDescent="0.25">
      <c r="A67" s="54"/>
      <c r="B67" s="56"/>
      <c r="C67" s="7" t="s">
        <v>279</v>
      </c>
      <c r="D67" s="5" t="s">
        <v>59</v>
      </c>
      <c r="E67" s="6">
        <f>0</f>
        <v>0</v>
      </c>
      <c r="F67" s="6">
        <f>0</f>
        <v>0</v>
      </c>
      <c r="G67" s="6" t="s">
        <v>10</v>
      </c>
      <c r="H67" s="6">
        <f>0</f>
        <v>0</v>
      </c>
    </row>
    <row r="68" spans="1:8" ht="19.5" customHeight="1" x14ac:dyDescent="0.25">
      <c r="A68" s="54"/>
      <c r="B68" s="56"/>
      <c r="C68" s="5" t="s">
        <v>199</v>
      </c>
      <c r="D68" s="5" t="s">
        <v>250</v>
      </c>
      <c r="E68" s="6">
        <f>E69+E70</f>
        <v>30568.03</v>
      </c>
      <c r="F68" s="29">
        <f>F69+F70</f>
        <v>19512.550000000003</v>
      </c>
      <c r="G68" s="6" t="s">
        <v>732</v>
      </c>
      <c r="H68" s="29">
        <f>H69+H70</f>
        <v>19512.550000000003</v>
      </c>
    </row>
    <row r="69" spans="1:8" ht="24" x14ac:dyDescent="0.25">
      <c r="A69" s="54"/>
      <c r="B69" s="56"/>
      <c r="C69" s="7" t="s">
        <v>280</v>
      </c>
      <c r="D69" s="5" t="s">
        <v>60</v>
      </c>
      <c r="E69" s="6">
        <f>21779+6915</f>
        <v>28694</v>
      </c>
      <c r="F69" s="29">
        <f>17638.58</f>
        <v>17638.580000000002</v>
      </c>
      <c r="G69" s="6" t="s">
        <v>733</v>
      </c>
      <c r="H69" s="29">
        <f>17638.58</f>
        <v>17638.580000000002</v>
      </c>
    </row>
    <row r="70" spans="1:8" ht="49.5" customHeight="1" x14ac:dyDescent="0.25">
      <c r="A70" s="54"/>
      <c r="B70" s="56"/>
      <c r="C70" s="7" t="s">
        <v>281</v>
      </c>
      <c r="D70" s="5" t="s">
        <v>251</v>
      </c>
      <c r="E70" s="6">
        <f>1388.19+462.71+23.13</f>
        <v>1874.0300000000002</v>
      </c>
      <c r="F70" s="6">
        <f>1388.12+462.71+23.14</f>
        <v>1873.97</v>
      </c>
      <c r="G70" s="6" t="s">
        <v>282</v>
      </c>
      <c r="H70" s="6">
        <f>1388.12+462.71+23.14</f>
        <v>1873.97</v>
      </c>
    </row>
    <row r="71" spans="1:8" ht="21.75" customHeight="1" x14ac:dyDescent="0.25">
      <c r="A71" s="54"/>
      <c r="B71" s="56"/>
      <c r="C71" s="3" t="s">
        <v>20</v>
      </c>
      <c r="D71" s="3" t="s">
        <v>61</v>
      </c>
      <c r="E71" s="4">
        <f>E72+E84+E85+E94+E95+E96</f>
        <v>1760870.48</v>
      </c>
      <c r="F71" s="4">
        <f>F72+F84+F85+F94+F95+F96</f>
        <v>1100628.1900000002</v>
      </c>
      <c r="G71" s="4" t="s">
        <v>734</v>
      </c>
      <c r="H71" s="4">
        <f>H72+H84+H85+H94+H95+H96</f>
        <v>1100628.1900000002</v>
      </c>
    </row>
    <row r="72" spans="1:8" ht="18.75" customHeight="1" x14ac:dyDescent="0.25">
      <c r="A72" s="54"/>
      <c r="B72" s="56"/>
      <c r="C72" s="5" t="s">
        <v>21</v>
      </c>
      <c r="D72" s="5" t="s">
        <v>62</v>
      </c>
      <c r="E72" s="6">
        <f>E73+E74+E75+E76+E77+E78+E79+E80+E81+E82+E83</f>
        <v>1664349.72</v>
      </c>
      <c r="F72" s="6">
        <f>F73+F74+F75+F76+F77+F78+F79+F80+F81+F82+F83</f>
        <v>1058970.33</v>
      </c>
      <c r="G72" s="6" t="s">
        <v>735</v>
      </c>
      <c r="H72" s="6">
        <f>H73+H74+H75+H76+H77+H78+H79+H80+H81+H82+H83</f>
        <v>1058970.33</v>
      </c>
    </row>
    <row r="73" spans="1:8" ht="72" x14ac:dyDescent="0.25">
      <c r="A73" s="54"/>
      <c r="B73" s="56"/>
      <c r="C73" s="7" t="s">
        <v>258</v>
      </c>
      <c r="D73" s="5" t="s">
        <v>63</v>
      </c>
      <c r="E73" s="6">
        <f>0</f>
        <v>0</v>
      </c>
      <c r="F73" s="6">
        <f>0</f>
        <v>0</v>
      </c>
      <c r="G73" s="6" t="s">
        <v>10</v>
      </c>
      <c r="H73" s="6">
        <f>0</f>
        <v>0</v>
      </c>
    </row>
    <row r="74" spans="1:8" ht="57.75" customHeight="1" x14ac:dyDescent="0.25">
      <c r="A74" s="54"/>
      <c r="B74" s="56"/>
      <c r="C74" s="7" t="s">
        <v>262</v>
      </c>
      <c r="D74" s="5" t="s">
        <v>64</v>
      </c>
      <c r="E74" s="6">
        <f>0</f>
        <v>0</v>
      </c>
      <c r="F74" s="6">
        <f>0</f>
        <v>0</v>
      </c>
      <c r="G74" s="6" t="s">
        <v>10</v>
      </c>
      <c r="H74" s="6">
        <f>0</f>
        <v>0</v>
      </c>
    </row>
    <row r="75" spans="1:8" ht="24" x14ac:dyDescent="0.25">
      <c r="A75" s="54"/>
      <c r="B75" s="56"/>
      <c r="C75" s="7" t="s">
        <v>271</v>
      </c>
      <c r="D75" s="5" t="s">
        <v>413</v>
      </c>
      <c r="E75" s="6">
        <f>92450.92</f>
        <v>92450.92</v>
      </c>
      <c r="F75" s="6">
        <f>53917.56</f>
        <v>53917.56</v>
      </c>
      <c r="G75" s="6" t="s">
        <v>417</v>
      </c>
      <c r="H75" s="6">
        <f>53917.56</f>
        <v>53917.56</v>
      </c>
    </row>
    <row r="76" spans="1:8" ht="17.25" customHeight="1" x14ac:dyDescent="0.25">
      <c r="A76" s="54"/>
      <c r="B76" s="56"/>
      <c r="C76" s="7" t="s">
        <v>266</v>
      </c>
      <c r="D76" s="5" t="s">
        <v>65</v>
      </c>
      <c r="E76" s="6">
        <f>6805.4</f>
        <v>6805.4</v>
      </c>
      <c r="F76" s="6">
        <f>2965.74</f>
        <v>2965.74</v>
      </c>
      <c r="G76" s="6" t="s">
        <v>736</v>
      </c>
      <c r="H76" s="6">
        <f>2965.74</f>
        <v>2965.74</v>
      </c>
    </row>
    <row r="77" spans="1:8" ht="17.25" customHeight="1" x14ac:dyDescent="0.25">
      <c r="A77" s="54"/>
      <c r="B77" s="56"/>
      <c r="C77" s="7" t="s">
        <v>267</v>
      </c>
      <c r="D77" s="5" t="s">
        <v>66</v>
      </c>
      <c r="E77" s="6">
        <f>18455.6</f>
        <v>18455.599999999999</v>
      </c>
      <c r="F77" s="6">
        <f>11290.75</f>
        <v>11290.75</v>
      </c>
      <c r="G77" s="6" t="s">
        <v>737</v>
      </c>
      <c r="H77" s="6">
        <f>11290.75</f>
        <v>11290.75</v>
      </c>
    </row>
    <row r="78" spans="1:8" ht="21.75" customHeight="1" x14ac:dyDescent="0.25">
      <c r="A78" s="54"/>
      <c r="B78" s="56"/>
      <c r="C78" s="7" t="s">
        <v>283</v>
      </c>
      <c r="D78" s="5" t="s">
        <v>67</v>
      </c>
      <c r="E78" s="6">
        <f>0</f>
        <v>0</v>
      </c>
      <c r="F78" s="6">
        <f>0</f>
        <v>0</v>
      </c>
      <c r="G78" s="6" t="s">
        <v>10</v>
      </c>
      <c r="H78" s="6">
        <f>0</f>
        <v>0</v>
      </c>
    </row>
    <row r="79" spans="1:8" ht="19.5" customHeight="1" x14ac:dyDescent="0.25">
      <c r="A79" s="54"/>
      <c r="B79" s="56"/>
      <c r="C79" s="7" t="s">
        <v>284</v>
      </c>
      <c r="D79" s="5" t="s">
        <v>59</v>
      </c>
      <c r="E79" s="6">
        <f>16026.8</f>
        <v>16026.8</v>
      </c>
      <c r="F79" s="6">
        <f>11004.45</f>
        <v>11004.45</v>
      </c>
      <c r="G79" s="6" t="s">
        <v>738</v>
      </c>
      <c r="H79" s="6">
        <f>11004.45</f>
        <v>11004.45</v>
      </c>
    </row>
    <row r="80" spans="1:8" ht="22.5" customHeight="1" x14ac:dyDescent="0.25">
      <c r="A80" s="54"/>
      <c r="B80" s="56"/>
      <c r="C80" s="7" t="s">
        <v>285</v>
      </c>
      <c r="D80" s="5" t="s">
        <v>68</v>
      </c>
      <c r="E80" s="6">
        <f>0</f>
        <v>0</v>
      </c>
      <c r="F80" s="6">
        <f>0</f>
        <v>0</v>
      </c>
      <c r="G80" s="6" t="s">
        <v>10</v>
      </c>
      <c r="H80" s="6">
        <f>0</f>
        <v>0</v>
      </c>
    </row>
    <row r="81" spans="1:8" ht="81.75" customHeight="1" x14ac:dyDescent="0.25">
      <c r="A81" s="54"/>
      <c r="B81" s="56"/>
      <c r="C81" s="7" t="s">
        <v>286</v>
      </c>
      <c r="D81" s="5" t="s">
        <v>69</v>
      </c>
      <c r="E81" s="6">
        <f>30311</f>
        <v>30311</v>
      </c>
      <c r="F81" s="6">
        <f>18152.13</f>
        <v>18152.13</v>
      </c>
      <c r="G81" s="6" t="s">
        <v>739</v>
      </c>
      <c r="H81" s="6">
        <f>18152.13</f>
        <v>18152.13</v>
      </c>
    </row>
    <row r="82" spans="1:8" ht="81.75" customHeight="1" x14ac:dyDescent="0.25">
      <c r="A82" s="54"/>
      <c r="B82" s="56"/>
      <c r="C82" s="7" t="s">
        <v>653</v>
      </c>
      <c r="D82" s="5" t="s">
        <v>740</v>
      </c>
      <c r="E82" s="6">
        <f>1466852</f>
        <v>1466852</v>
      </c>
      <c r="F82" s="6">
        <f>937365.29</f>
        <v>937365.29</v>
      </c>
      <c r="G82" s="6" t="s">
        <v>741</v>
      </c>
      <c r="H82" s="6">
        <f>937365.29</f>
        <v>937365.29</v>
      </c>
    </row>
    <row r="83" spans="1:8" ht="105.75" customHeight="1" x14ac:dyDescent="0.25">
      <c r="A83" s="54"/>
      <c r="B83" s="56"/>
      <c r="C83" s="7" t="s">
        <v>345</v>
      </c>
      <c r="D83" s="5" t="s">
        <v>414</v>
      </c>
      <c r="E83" s="6">
        <f>33448</f>
        <v>33448</v>
      </c>
      <c r="F83" s="6">
        <f>24274.41</f>
        <v>24274.41</v>
      </c>
      <c r="G83" s="6" t="s">
        <v>742</v>
      </c>
      <c r="H83" s="6">
        <f>24274.41</f>
        <v>24274.41</v>
      </c>
    </row>
    <row r="84" spans="1:8" ht="24" x14ac:dyDescent="0.25">
      <c r="A84" s="54"/>
      <c r="B84" s="56"/>
      <c r="C84" s="5" t="s">
        <v>36</v>
      </c>
      <c r="D84" s="5" t="s">
        <v>70</v>
      </c>
      <c r="E84" s="6">
        <f>0</f>
        <v>0</v>
      </c>
      <c r="F84" s="6">
        <f>0</f>
        <v>0</v>
      </c>
      <c r="G84" s="6" t="s">
        <v>10</v>
      </c>
      <c r="H84" s="6">
        <f>0</f>
        <v>0</v>
      </c>
    </row>
    <row r="85" spans="1:8" ht="24" x14ac:dyDescent="0.25">
      <c r="A85" s="54"/>
      <c r="B85" s="56"/>
      <c r="C85" s="5" t="s">
        <v>11</v>
      </c>
      <c r="D85" s="5" t="s">
        <v>71</v>
      </c>
      <c r="E85" s="6">
        <f>E86+E87+E88+E89+E90+E91+E92+E93</f>
        <v>96520.760000000009</v>
      </c>
      <c r="F85" s="6">
        <f>F86+F87+F88+F89+F90+F91+F92+F93</f>
        <v>41657.86</v>
      </c>
      <c r="G85" s="6" t="s">
        <v>538</v>
      </c>
      <c r="H85" s="6">
        <f>H86+H87+H88+H89+H90+H91+H92+H93</f>
        <v>41657.86</v>
      </c>
    </row>
    <row r="86" spans="1:8" ht="23.25" customHeight="1" x14ac:dyDescent="0.25">
      <c r="A86" s="54"/>
      <c r="B86" s="56"/>
      <c r="C86" s="7" t="s">
        <v>257</v>
      </c>
      <c r="D86" s="5" t="s">
        <v>72</v>
      </c>
      <c r="E86" s="6">
        <f>0</f>
        <v>0</v>
      </c>
      <c r="F86" s="6">
        <f>0</f>
        <v>0</v>
      </c>
      <c r="G86" s="6" t="s">
        <v>10</v>
      </c>
      <c r="H86" s="6">
        <f>0</f>
        <v>0</v>
      </c>
    </row>
    <row r="87" spans="1:8" ht="48" x14ac:dyDescent="0.25">
      <c r="A87" s="54"/>
      <c r="B87" s="56"/>
      <c r="C87" s="7" t="s">
        <v>287</v>
      </c>
      <c r="D87" s="5" t="s">
        <v>73</v>
      </c>
      <c r="E87" s="6">
        <f>0</f>
        <v>0</v>
      </c>
      <c r="F87" s="6">
        <f>0</f>
        <v>0</v>
      </c>
      <c r="G87" s="6" t="s">
        <v>10</v>
      </c>
      <c r="H87" s="6">
        <f>0</f>
        <v>0</v>
      </c>
    </row>
    <row r="88" spans="1:8" ht="24" x14ac:dyDescent="0.25">
      <c r="A88" s="54"/>
      <c r="B88" s="56"/>
      <c r="C88" s="7" t="s">
        <v>288</v>
      </c>
      <c r="D88" s="5" t="s">
        <v>74</v>
      </c>
      <c r="E88" s="6">
        <f>0</f>
        <v>0</v>
      </c>
      <c r="F88" s="6">
        <f>0</f>
        <v>0</v>
      </c>
      <c r="G88" s="6" t="s">
        <v>10</v>
      </c>
      <c r="H88" s="6">
        <f>0</f>
        <v>0</v>
      </c>
    </row>
    <row r="89" spans="1:8" ht="24" x14ac:dyDescent="0.25">
      <c r="A89" s="54"/>
      <c r="B89" s="56"/>
      <c r="C89" s="7" t="s">
        <v>289</v>
      </c>
      <c r="D89" s="5" t="s">
        <v>75</v>
      </c>
      <c r="E89" s="6">
        <f>0</f>
        <v>0</v>
      </c>
      <c r="F89" s="6">
        <f>0</f>
        <v>0</v>
      </c>
      <c r="G89" s="6" t="s">
        <v>10</v>
      </c>
      <c r="H89" s="6">
        <f>0</f>
        <v>0</v>
      </c>
    </row>
    <row r="90" spans="1:8" ht="23.25" customHeight="1" x14ac:dyDescent="0.25">
      <c r="A90" s="54"/>
      <c r="B90" s="56"/>
      <c r="C90" s="7" t="s">
        <v>290</v>
      </c>
      <c r="D90" s="5" t="s">
        <v>76</v>
      </c>
      <c r="E90" s="6">
        <f>0</f>
        <v>0</v>
      </c>
      <c r="F90" s="6">
        <f>0</f>
        <v>0</v>
      </c>
      <c r="G90" s="6" t="s">
        <v>10</v>
      </c>
      <c r="H90" s="6">
        <f>0</f>
        <v>0</v>
      </c>
    </row>
    <row r="91" spans="1:8" ht="72" x14ac:dyDescent="0.25">
      <c r="A91" s="54"/>
      <c r="B91" s="56"/>
      <c r="C91" s="7" t="s">
        <v>291</v>
      </c>
      <c r="D91" s="5" t="s">
        <v>77</v>
      </c>
      <c r="E91" s="6">
        <f>0</f>
        <v>0</v>
      </c>
      <c r="F91" s="6">
        <f>0</f>
        <v>0</v>
      </c>
      <c r="G91" s="6" t="s">
        <v>10</v>
      </c>
      <c r="H91" s="6">
        <f>0</f>
        <v>0</v>
      </c>
    </row>
    <row r="92" spans="1:8" ht="24" x14ac:dyDescent="0.25">
      <c r="A92" s="54"/>
      <c r="B92" s="56"/>
      <c r="C92" s="7" t="s">
        <v>292</v>
      </c>
      <c r="D92" s="5" t="s">
        <v>78</v>
      </c>
      <c r="E92" s="6">
        <f>60792.76</f>
        <v>60792.76</v>
      </c>
      <c r="F92" s="6">
        <f>23558.02</f>
        <v>23558.02</v>
      </c>
      <c r="G92" s="6" t="s">
        <v>423</v>
      </c>
      <c r="H92" s="6">
        <f>23558.02</f>
        <v>23558.02</v>
      </c>
    </row>
    <row r="93" spans="1:8" ht="36" x14ac:dyDescent="0.25">
      <c r="A93" s="54"/>
      <c r="B93" s="56"/>
      <c r="C93" s="7" t="s">
        <v>293</v>
      </c>
      <c r="D93" s="5" t="s">
        <v>252</v>
      </c>
      <c r="E93" s="6">
        <f>35728</f>
        <v>35728</v>
      </c>
      <c r="F93" s="6">
        <f>18099.84</f>
        <v>18099.84</v>
      </c>
      <c r="G93" s="6" t="s">
        <v>416</v>
      </c>
      <c r="H93" s="6">
        <f>18099.84</f>
        <v>18099.84</v>
      </c>
    </row>
    <row r="94" spans="1:8" ht="23.25" customHeight="1" x14ac:dyDescent="0.25">
      <c r="A94" s="54"/>
      <c r="B94" s="56"/>
      <c r="C94" s="5" t="s">
        <v>30</v>
      </c>
      <c r="D94" s="5" t="s">
        <v>81</v>
      </c>
      <c r="E94" s="6">
        <f>0</f>
        <v>0</v>
      </c>
      <c r="F94" s="6">
        <f>0</f>
        <v>0</v>
      </c>
      <c r="G94" s="6" t="s">
        <v>10</v>
      </c>
      <c r="H94" s="6">
        <f>0</f>
        <v>0</v>
      </c>
    </row>
    <row r="95" spans="1:8" ht="18" customHeight="1" x14ac:dyDescent="0.25">
      <c r="A95" s="54"/>
      <c r="B95" s="56"/>
      <c r="C95" s="5" t="s">
        <v>200</v>
      </c>
      <c r="D95" s="5" t="s">
        <v>80</v>
      </c>
      <c r="E95" s="6">
        <f>0</f>
        <v>0</v>
      </c>
      <c r="F95" s="6">
        <f>0</f>
        <v>0</v>
      </c>
      <c r="G95" s="6" t="s">
        <v>10</v>
      </c>
      <c r="H95" s="6">
        <f>0</f>
        <v>0</v>
      </c>
    </row>
    <row r="96" spans="1:8" ht="21" customHeight="1" x14ac:dyDescent="0.25">
      <c r="A96" s="54"/>
      <c r="B96" s="56"/>
      <c r="C96" s="5" t="s">
        <v>201</v>
      </c>
      <c r="D96" s="5" t="s">
        <v>79</v>
      </c>
      <c r="E96" s="6">
        <f>0</f>
        <v>0</v>
      </c>
      <c r="F96" s="6">
        <f>0</f>
        <v>0</v>
      </c>
      <c r="G96" s="6" t="s">
        <v>10</v>
      </c>
      <c r="H96" s="6">
        <f>0</f>
        <v>0</v>
      </c>
    </row>
    <row r="97" spans="1:8" ht="17.25" customHeight="1" x14ac:dyDescent="0.25">
      <c r="A97" s="54"/>
      <c r="B97" s="56"/>
      <c r="C97" s="3" t="s">
        <v>25</v>
      </c>
      <c r="D97" s="3" t="s">
        <v>82</v>
      </c>
      <c r="E97" s="4">
        <f>E98+E99+E104+E107+E109+E110+E111+E112</f>
        <v>74073.350000000006</v>
      </c>
      <c r="F97" s="4">
        <f>F98+F99+F104+F107+F109+F110+F111+F112</f>
        <v>44980.98</v>
      </c>
      <c r="G97" s="4" t="s">
        <v>743</v>
      </c>
      <c r="H97" s="4">
        <f>H98+H99+H104+H107+H109+H110+H111+H112</f>
        <v>44980.98</v>
      </c>
    </row>
    <row r="98" spans="1:8" ht="24" x14ac:dyDescent="0.25">
      <c r="A98" s="54"/>
      <c r="B98" s="56"/>
      <c r="C98" s="5" t="s">
        <v>36</v>
      </c>
      <c r="D98" s="5" t="s">
        <v>86</v>
      </c>
      <c r="E98" s="6">
        <f>0</f>
        <v>0</v>
      </c>
      <c r="F98" s="6">
        <f>0</f>
        <v>0</v>
      </c>
      <c r="G98" s="6" t="s">
        <v>10</v>
      </c>
      <c r="H98" s="6">
        <f>0</f>
        <v>0</v>
      </c>
    </row>
    <row r="99" spans="1:8" x14ac:dyDescent="0.25">
      <c r="A99" s="54"/>
      <c r="B99" s="56"/>
      <c r="C99" s="5" t="s">
        <v>11</v>
      </c>
      <c r="D99" s="5" t="s">
        <v>87</v>
      </c>
      <c r="E99" s="6">
        <f>E100+E101+E102+E103</f>
        <v>69358.350000000006</v>
      </c>
      <c r="F99" s="6">
        <f>F100+F101+F102+F103</f>
        <v>44568.32</v>
      </c>
      <c r="G99" s="6" t="s">
        <v>418</v>
      </c>
      <c r="H99" s="6">
        <f>H100+H101+H102+H103</f>
        <v>44568.32</v>
      </c>
    </row>
    <row r="100" spans="1:8" ht="24" x14ac:dyDescent="0.25">
      <c r="A100" s="54"/>
      <c r="B100" s="56"/>
      <c r="C100" s="7" t="s">
        <v>256</v>
      </c>
      <c r="D100" s="5" t="s">
        <v>88</v>
      </c>
      <c r="E100" s="6">
        <f>65797.41</f>
        <v>65797.41</v>
      </c>
      <c r="F100" s="6">
        <f>42215.11</f>
        <v>42215.11</v>
      </c>
      <c r="G100" s="6" t="s">
        <v>744</v>
      </c>
      <c r="H100" s="6">
        <f>42215.11</f>
        <v>42215.11</v>
      </c>
    </row>
    <row r="101" spans="1:8" x14ac:dyDescent="0.25">
      <c r="A101" s="54"/>
      <c r="B101" s="56"/>
      <c r="C101" s="7" t="s">
        <v>257</v>
      </c>
      <c r="D101" s="5" t="s">
        <v>745</v>
      </c>
      <c r="E101" s="6">
        <f>0</f>
        <v>0</v>
      </c>
      <c r="F101" s="6">
        <f>0</f>
        <v>0</v>
      </c>
      <c r="G101" s="6" t="s">
        <v>10</v>
      </c>
      <c r="H101" s="6">
        <f>0</f>
        <v>0</v>
      </c>
    </row>
    <row r="102" spans="1:8" x14ac:dyDescent="0.25">
      <c r="A102" s="54"/>
      <c r="B102" s="56"/>
      <c r="C102" s="7" t="s">
        <v>294</v>
      </c>
      <c r="D102" s="5" t="s">
        <v>89</v>
      </c>
      <c r="E102" s="6">
        <f>3560.94</f>
        <v>3560.94</v>
      </c>
      <c r="F102" s="6">
        <f>2353.21</f>
        <v>2353.21</v>
      </c>
      <c r="G102" s="6" t="s">
        <v>718</v>
      </c>
      <c r="H102" s="6">
        <f>2353.21</f>
        <v>2353.21</v>
      </c>
    </row>
    <row r="103" spans="1:8" x14ac:dyDescent="0.25">
      <c r="A103" s="54"/>
      <c r="B103" s="56"/>
      <c r="C103" s="7" t="s">
        <v>287</v>
      </c>
      <c r="D103" s="5" t="s">
        <v>59</v>
      </c>
      <c r="E103" s="6">
        <f>0</f>
        <v>0</v>
      </c>
      <c r="F103" s="6">
        <f>0</f>
        <v>0</v>
      </c>
      <c r="G103" s="6" t="s">
        <v>10</v>
      </c>
      <c r="H103" s="6">
        <f>0</f>
        <v>0</v>
      </c>
    </row>
    <row r="104" spans="1:8" ht="24" x14ac:dyDescent="0.25">
      <c r="A104" s="54"/>
      <c r="B104" s="56"/>
      <c r="C104" s="5" t="s">
        <v>90</v>
      </c>
      <c r="D104" s="5" t="s">
        <v>253</v>
      </c>
      <c r="E104" s="6">
        <f>E105+E106</f>
        <v>3515</v>
      </c>
      <c r="F104" s="6">
        <f>F105+F106</f>
        <v>412.66</v>
      </c>
      <c r="G104" s="6" t="s">
        <v>746</v>
      </c>
      <c r="H104" s="6">
        <f>H105+H106</f>
        <v>412.66</v>
      </c>
    </row>
    <row r="105" spans="1:8" ht="24" x14ac:dyDescent="0.25">
      <c r="A105" s="54"/>
      <c r="B105" s="56"/>
      <c r="C105" s="7" t="s">
        <v>424</v>
      </c>
      <c r="D105" s="5" t="s">
        <v>420</v>
      </c>
      <c r="E105" s="6">
        <f>3515</f>
        <v>3515</v>
      </c>
      <c r="F105" s="6">
        <f>412.66</f>
        <v>412.66</v>
      </c>
      <c r="G105" s="6" t="s">
        <v>746</v>
      </c>
      <c r="H105" s="6">
        <f>412.66</f>
        <v>412.66</v>
      </c>
    </row>
    <row r="106" spans="1:8" x14ac:dyDescent="0.25">
      <c r="A106" s="54"/>
      <c r="B106" s="56"/>
      <c r="C106" s="7" t="s">
        <v>425</v>
      </c>
      <c r="D106" s="5" t="s">
        <v>426</v>
      </c>
      <c r="E106" s="6">
        <f>0</f>
        <v>0</v>
      </c>
      <c r="F106" s="6">
        <f>0</f>
        <v>0</v>
      </c>
      <c r="G106" s="6" t="s">
        <v>10</v>
      </c>
      <c r="H106" s="6">
        <f>0</f>
        <v>0</v>
      </c>
    </row>
    <row r="107" spans="1:8" x14ac:dyDescent="0.25">
      <c r="A107" s="54"/>
      <c r="B107" s="56"/>
      <c r="C107" s="5" t="s">
        <v>91</v>
      </c>
      <c r="D107" s="5" t="s">
        <v>92</v>
      </c>
      <c r="E107" s="6">
        <f>E108</f>
        <v>1200</v>
      </c>
      <c r="F107" s="6">
        <f>F108</f>
        <v>0</v>
      </c>
      <c r="G107" s="6" t="s">
        <v>47</v>
      </c>
      <c r="H107" s="6">
        <f>H108</f>
        <v>0</v>
      </c>
    </row>
    <row r="108" spans="1:8" ht="24" x14ac:dyDescent="0.25">
      <c r="A108" s="54"/>
      <c r="B108" s="56"/>
      <c r="C108" s="7" t="s">
        <v>295</v>
      </c>
      <c r="D108" s="5" t="s">
        <v>254</v>
      </c>
      <c r="E108" s="6">
        <f>1200</f>
        <v>1200</v>
      </c>
      <c r="F108" s="6">
        <f>0</f>
        <v>0</v>
      </c>
      <c r="G108" s="6" t="s">
        <v>47</v>
      </c>
      <c r="H108" s="6">
        <f>0</f>
        <v>0</v>
      </c>
    </row>
    <row r="109" spans="1:8" x14ac:dyDescent="0.25">
      <c r="A109" s="54"/>
      <c r="B109" s="56"/>
      <c r="C109" s="5" t="s">
        <v>232</v>
      </c>
      <c r="D109" s="5" t="s">
        <v>84</v>
      </c>
      <c r="E109" s="6">
        <f>0</f>
        <v>0</v>
      </c>
      <c r="F109" s="6">
        <f>0</f>
        <v>0</v>
      </c>
      <c r="G109" s="6" t="s">
        <v>10</v>
      </c>
      <c r="H109" s="6">
        <f>0</f>
        <v>0</v>
      </c>
    </row>
    <row r="110" spans="1:8" x14ac:dyDescent="0.25">
      <c r="A110" s="54"/>
      <c r="B110" s="56"/>
      <c r="C110" s="5" t="s">
        <v>255</v>
      </c>
      <c r="D110" s="5" t="s">
        <v>83</v>
      </c>
      <c r="E110" s="6">
        <f>0</f>
        <v>0</v>
      </c>
      <c r="F110" s="6">
        <f>0</f>
        <v>0</v>
      </c>
      <c r="G110" s="6" t="s">
        <v>10</v>
      </c>
      <c r="H110" s="6">
        <f>0</f>
        <v>0</v>
      </c>
    </row>
    <row r="111" spans="1:8" ht="15.75" customHeight="1" x14ac:dyDescent="0.25">
      <c r="A111" s="54"/>
      <c r="B111" s="56"/>
      <c r="C111" s="5" t="s">
        <v>201</v>
      </c>
      <c r="D111" s="5" t="s">
        <v>79</v>
      </c>
      <c r="E111" s="6">
        <f>0</f>
        <v>0</v>
      </c>
      <c r="F111" s="6">
        <f>0</f>
        <v>0</v>
      </c>
      <c r="G111" s="6" t="s">
        <v>10</v>
      </c>
      <c r="H111" s="6">
        <f>0</f>
        <v>0</v>
      </c>
    </row>
    <row r="112" spans="1:8" x14ac:dyDescent="0.25">
      <c r="A112" s="54"/>
      <c r="B112" s="56"/>
      <c r="C112" s="5" t="s">
        <v>188</v>
      </c>
      <c r="D112" s="5" t="s">
        <v>85</v>
      </c>
      <c r="E112" s="6">
        <f>0</f>
        <v>0</v>
      </c>
      <c r="F112" s="6">
        <f>0</f>
        <v>0</v>
      </c>
      <c r="G112" s="6" t="s">
        <v>10</v>
      </c>
      <c r="H112" s="6">
        <f>0</f>
        <v>0</v>
      </c>
    </row>
    <row r="113" spans="1:8" ht="23.25" customHeight="1" x14ac:dyDescent="0.25">
      <c r="A113" s="54"/>
      <c r="B113" s="56"/>
      <c r="C113" s="3" t="s">
        <v>29</v>
      </c>
      <c r="D113" s="3" t="s">
        <v>93</v>
      </c>
      <c r="E113" s="4">
        <f>E114</f>
        <v>0</v>
      </c>
      <c r="F113" s="4">
        <f>F114</f>
        <v>0</v>
      </c>
      <c r="G113" s="4" t="s">
        <v>10</v>
      </c>
      <c r="H113" s="4">
        <f>H114</f>
        <v>0</v>
      </c>
    </row>
    <row r="114" spans="1:8" ht="35.25" customHeight="1" x14ac:dyDescent="0.25">
      <c r="A114" s="54"/>
      <c r="B114" s="56"/>
      <c r="C114" s="5" t="s">
        <v>30</v>
      </c>
      <c r="D114" s="5" t="s">
        <v>94</v>
      </c>
      <c r="E114" s="6">
        <f>0</f>
        <v>0</v>
      </c>
      <c r="F114" s="6">
        <f>0</f>
        <v>0</v>
      </c>
      <c r="G114" s="6" t="s">
        <v>10</v>
      </c>
      <c r="H114" s="6">
        <f>0</f>
        <v>0</v>
      </c>
    </row>
    <row r="115" spans="1:8" x14ac:dyDescent="0.25">
      <c r="A115" s="54"/>
      <c r="B115" s="56"/>
      <c r="C115" s="3" t="s">
        <v>13</v>
      </c>
      <c r="D115" s="3" t="s">
        <v>40</v>
      </c>
      <c r="E115" s="4">
        <f>E116</f>
        <v>30734.79</v>
      </c>
      <c r="F115" s="4">
        <f>F116</f>
        <v>19866.419999999998</v>
      </c>
      <c r="G115" s="4" t="s">
        <v>747</v>
      </c>
      <c r="H115" s="4">
        <f>H116</f>
        <v>19866.419999999998</v>
      </c>
    </row>
    <row r="116" spans="1:8" x14ac:dyDescent="0.25">
      <c r="A116" s="54"/>
      <c r="B116" s="56"/>
      <c r="C116" s="5" t="s">
        <v>21</v>
      </c>
      <c r="D116" s="5" t="s">
        <v>41</v>
      </c>
      <c r="E116" s="6">
        <f>E117+E118+E119</f>
        <v>30734.79</v>
      </c>
      <c r="F116" s="6">
        <f>F117+F118+F119</f>
        <v>19866.419999999998</v>
      </c>
      <c r="G116" s="6" t="s">
        <v>747</v>
      </c>
      <c r="H116" s="6">
        <f>H117+H118+H119</f>
        <v>19866.419999999998</v>
      </c>
    </row>
    <row r="117" spans="1:8" x14ac:dyDescent="0.25">
      <c r="A117" s="54"/>
      <c r="B117" s="56"/>
      <c r="C117" s="7" t="s">
        <v>258</v>
      </c>
      <c r="D117" s="5" t="s">
        <v>95</v>
      </c>
      <c r="E117" s="6">
        <f>16394.95</f>
        <v>16394.95</v>
      </c>
      <c r="F117" s="6">
        <f>10813.7</f>
        <v>10813.7</v>
      </c>
      <c r="G117" s="6" t="s">
        <v>748</v>
      </c>
      <c r="H117" s="6">
        <f>10813.7</f>
        <v>10813.7</v>
      </c>
    </row>
    <row r="118" spans="1:8" ht="24.75" customHeight="1" x14ac:dyDescent="0.25">
      <c r="A118" s="54"/>
      <c r="B118" s="56"/>
      <c r="C118" s="7" t="s">
        <v>262</v>
      </c>
      <c r="D118" s="5" t="s">
        <v>96</v>
      </c>
      <c r="E118" s="6">
        <f>14339.84</f>
        <v>14339.84</v>
      </c>
      <c r="F118" s="6">
        <f>9052.72</f>
        <v>9052.7199999999993</v>
      </c>
      <c r="G118" s="6" t="s">
        <v>749</v>
      </c>
      <c r="H118" s="6">
        <f>9052.72</f>
        <v>9052.7199999999993</v>
      </c>
    </row>
    <row r="119" spans="1:8" ht="16.5" customHeight="1" x14ac:dyDescent="0.25">
      <c r="A119" s="54"/>
      <c r="B119" s="56"/>
      <c r="C119" s="7" t="s">
        <v>271</v>
      </c>
      <c r="D119" s="5" t="s">
        <v>59</v>
      </c>
      <c r="E119" s="6">
        <f>0</f>
        <v>0</v>
      </c>
      <c r="F119" s="6">
        <f>0</f>
        <v>0</v>
      </c>
      <c r="G119" s="6" t="s">
        <v>10</v>
      </c>
      <c r="H119" s="6">
        <f>0</f>
        <v>0</v>
      </c>
    </row>
    <row r="120" spans="1:8" ht="21" customHeight="1" thickBot="1" x14ac:dyDescent="0.3">
      <c r="A120" s="41" t="s">
        <v>18</v>
      </c>
      <c r="B120" s="42"/>
      <c r="C120" s="42"/>
      <c r="D120" s="43"/>
      <c r="E120" s="37">
        <f>E54+E71+E97+E113+E115</f>
        <v>2250688.37</v>
      </c>
      <c r="F120" s="34">
        <f>F54+F71+F97+F113+F115</f>
        <v>1372988.12</v>
      </c>
      <c r="G120" s="34" t="s">
        <v>750</v>
      </c>
      <c r="H120" s="34">
        <f>H54+H71+H97+H113+H115</f>
        <v>1372988.12</v>
      </c>
    </row>
    <row r="121" spans="1:8" ht="20.25" customHeight="1" x14ac:dyDescent="0.25">
      <c r="A121" s="51">
        <v>4</v>
      </c>
      <c r="B121" s="62" t="s">
        <v>97</v>
      </c>
      <c r="C121" s="30" t="s">
        <v>8</v>
      </c>
      <c r="D121" s="30" t="s">
        <v>98</v>
      </c>
      <c r="E121" s="27">
        <f>E122+E125+E127+E134</f>
        <v>44762.720000000001</v>
      </c>
      <c r="F121" s="27">
        <f>F122+F125+F127+F134</f>
        <v>23821.780000000002</v>
      </c>
      <c r="G121" s="27" t="s">
        <v>752</v>
      </c>
      <c r="H121" s="27">
        <f>H122+H125+H127+H134</f>
        <v>23821.780000000002</v>
      </c>
    </row>
    <row r="122" spans="1:8" ht="24" x14ac:dyDescent="0.25">
      <c r="A122" s="51"/>
      <c r="B122" s="62"/>
      <c r="C122" s="5" t="s">
        <v>11</v>
      </c>
      <c r="D122" s="5" t="s">
        <v>99</v>
      </c>
      <c r="E122" s="6">
        <f>E123+E124</f>
        <v>30946</v>
      </c>
      <c r="F122" s="6">
        <f>F123+F124</f>
        <v>16385.600000000002</v>
      </c>
      <c r="G122" s="6" t="s">
        <v>592</v>
      </c>
      <c r="H122" s="6">
        <f>H123+H124</f>
        <v>16385.600000000002</v>
      </c>
    </row>
    <row r="123" spans="1:8" x14ac:dyDescent="0.25">
      <c r="A123" s="51"/>
      <c r="B123" s="62"/>
      <c r="C123" s="7" t="s">
        <v>256</v>
      </c>
      <c r="D123" s="5" t="s">
        <v>100</v>
      </c>
      <c r="E123" s="6">
        <f>28722</f>
        <v>28722</v>
      </c>
      <c r="F123" s="6">
        <f>14690.28</f>
        <v>14690.28</v>
      </c>
      <c r="G123" s="6" t="s">
        <v>753</v>
      </c>
      <c r="H123" s="6">
        <f>14690.28</f>
        <v>14690.28</v>
      </c>
    </row>
    <row r="124" spans="1:8" x14ac:dyDescent="0.25">
      <c r="A124" s="51"/>
      <c r="B124" s="62"/>
      <c r="C124" s="7" t="s">
        <v>257</v>
      </c>
      <c r="D124" s="5" t="s">
        <v>101</v>
      </c>
      <c r="E124" s="6">
        <f>2224</f>
        <v>2224</v>
      </c>
      <c r="F124" s="6">
        <f>1695.32</f>
        <v>1695.32</v>
      </c>
      <c r="G124" s="6" t="s">
        <v>754</v>
      </c>
      <c r="H124" s="6">
        <f>1695.32</f>
        <v>1695.32</v>
      </c>
    </row>
    <row r="125" spans="1:8" x14ac:dyDescent="0.25">
      <c r="A125" s="51"/>
      <c r="B125" s="62"/>
      <c r="C125" s="5" t="s">
        <v>102</v>
      </c>
      <c r="D125" s="5" t="s">
        <v>103</v>
      </c>
      <c r="E125" s="6">
        <f>E126</f>
        <v>8191.72</v>
      </c>
      <c r="F125" s="6">
        <f>F126</f>
        <v>4940.1400000000003</v>
      </c>
      <c r="G125" s="6" t="s">
        <v>755</v>
      </c>
      <c r="H125" s="6">
        <f>H126</f>
        <v>4940.1400000000003</v>
      </c>
    </row>
    <row r="126" spans="1:8" ht="24" x14ac:dyDescent="0.25">
      <c r="A126" s="51"/>
      <c r="B126" s="62"/>
      <c r="C126" s="7" t="s">
        <v>296</v>
      </c>
      <c r="D126" s="5" t="s">
        <v>104</v>
      </c>
      <c r="E126" s="6">
        <f>8191.72</f>
        <v>8191.72</v>
      </c>
      <c r="F126" s="6">
        <f>4940.14</f>
        <v>4940.1400000000003</v>
      </c>
      <c r="G126" s="6" t="s">
        <v>755</v>
      </c>
      <c r="H126" s="6">
        <f>4940.14</f>
        <v>4940.1400000000003</v>
      </c>
    </row>
    <row r="127" spans="1:8" ht="18" customHeight="1" x14ac:dyDescent="0.25">
      <c r="A127" s="51"/>
      <c r="B127" s="62"/>
      <c r="C127" s="5" t="s">
        <v>105</v>
      </c>
      <c r="D127" s="5" t="s">
        <v>106</v>
      </c>
      <c r="E127" s="6">
        <f>E128+E132</f>
        <v>5625</v>
      </c>
      <c r="F127" s="6">
        <f>F128+F132</f>
        <v>2496.04</v>
      </c>
      <c r="G127" s="6" t="s">
        <v>756</v>
      </c>
      <c r="H127" s="6">
        <f>H128+H132</f>
        <v>2496.04</v>
      </c>
    </row>
    <row r="128" spans="1:8" x14ac:dyDescent="0.25">
      <c r="A128" s="51"/>
      <c r="B128" s="62"/>
      <c r="C128" s="7" t="s">
        <v>297</v>
      </c>
      <c r="D128" s="5" t="s">
        <v>349</v>
      </c>
      <c r="E128" s="6">
        <f>E129+E130+E131</f>
        <v>5230</v>
      </c>
      <c r="F128" s="6">
        <f>F129+F130+F131</f>
        <v>2370.04</v>
      </c>
      <c r="G128" s="6" t="s">
        <v>637</v>
      </c>
      <c r="H128" s="6">
        <f>H129+H130+H131</f>
        <v>2370.04</v>
      </c>
    </row>
    <row r="129" spans="1:8" ht="24" x14ac:dyDescent="0.25">
      <c r="A129" s="51"/>
      <c r="B129" s="62"/>
      <c r="C129" s="7" t="s">
        <v>298</v>
      </c>
      <c r="D129" s="5" t="s">
        <v>392</v>
      </c>
      <c r="E129" s="6">
        <f>2230</f>
        <v>2230</v>
      </c>
      <c r="F129" s="6">
        <f>861.86</f>
        <v>861.86</v>
      </c>
      <c r="G129" s="6" t="s">
        <v>757</v>
      </c>
      <c r="H129" s="6">
        <f>861.86</f>
        <v>861.86</v>
      </c>
    </row>
    <row r="130" spans="1:8" ht="24" x14ac:dyDescent="0.25">
      <c r="A130" s="51"/>
      <c r="B130" s="62"/>
      <c r="C130" s="7" t="s">
        <v>299</v>
      </c>
      <c r="D130" s="5" t="s">
        <v>107</v>
      </c>
      <c r="E130" s="6">
        <f>2000</f>
        <v>2000</v>
      </c>
      <c r="F130" s="6">
        <f>1293.18</f>
        <v>1293.18</v>
      </c>
      <c r="G130" s="6" t="s">
        <v>747</v>
      </c>
      <c r="H130" s="6">
        <f>1293.18</f>
        <v>1293.18</v>
      </c>
    </row>
    <row r="131" spans="1:8" ht="36" x14ac:dyDescent="0.25">
      <c r="A131" s="51"/>
      <c r="B131" s="62"/>
      <c r="C131" s="7" t="s">
        <v>300</v>
      </c>
      <c r="D131" s="5" t="s">
        <v>108</v>
      </c>
      <c r="E131" s="6">
        <f>1000</f>
        <v>1000</v>
      </c>
      <c r="F131" s="6">
        <f>215</f>
        <v>215</v>
      </c>
      <c r="G131" s="6" t="s">
        <v>427</v>
      </c>
      <c r="H131" s="6">
        <f>215</f>
        <v>215</v>
      </c>
    </row>
    <row r="132" spans="1:8" x14ac:dyDescent="0.25">
      <c r="A132" s="51"/>
      <c r="B132" s="62"/>
      <c r="C132" s="7" t="s">
        <v>301</v>
      </c>
      <c r="D132" s="5" t="s">
        <v>350</v>
      </c>
      <c r="E132" s="6">
        <f>E133</f>
        <v>395</v>
      </c>
      <c r="F132" s="6">
        <f>F133</f>
        <v>126</v>
      </c>
      <c r="G132" s="6" t="s">
        <v>758</v>
      </c>
      <c r="H132" s="6">
        <f>H133</f>
        <v>126</v>
      </c>
    </row>
    <row r="133" spans="1:8" ht="48" x14ac:dyDescent="0.25">
      <c r="A133" s="51"/>
      <c r="B133" s="62"/>
      <c r="C133" s="7" t="s">
        <v>302</v>
      </c>
      <c r="D133" s="5" t="s">
        <v>109</v>
      </c>
      <c r="E133" s="6">
        <f>395</f>
        <v>395</v>
      </c>
      <c r="F133" s="6">
        <f>126</f>
        <v>126</v>
      </c>
      <c r="G133" s="6" t="s">
        <v>758</v>
      </c>
      <c r="H133" s="6">
        <f>126</f>
        <v>126</v>
      </c>
    </row>
    <row r="134" spans="1:8" x14ac:dyDescent="0.25">
      <c r="A134" s="51"/>
      <c r="B134" s="62"/>
      <c r="C134" s="5" t="s">
        <v>393</v>
      </c>
      <c r="D134" s="5" t="s">
        <v>394</v>
      </c>
      <c r="E134" s="6">
        <f>0</f>
        <v>0</v>
      </c>
      <c r="F134" s="6">
        <f>0</f>
        <v>0</v>
      </c>
      <c r="G134" s="6" t="s">
        <v>10</v>
      </c>
      <c r="H134" s="6">
        <f>0</f>
        <v>0</v>
      </c>
    </row>
    <row r="135" spans="1:8" ht="19.5" customHeight="1" x14ac:dyDescent="0.25">
      <c r="A135" s="51"/>
      <c r="B135" s="62"/>
      <c r="C135" s="3" t="s">
        <v>20</v>
      </c>
      <c r="D135" s="3" t="s">
        <v>110</v>
      </c>
      <c r="E135" s="4">
        <f>E136</f>
        <v>200</v>
      </c>
      <c r="F135" s="4">
        <f>F136</f>
        <v>0</v>
      </c>
      <c r="G135" s="4" t="s">
        <v>47</v>
      </c>
      <c r="H135" s="4">
        <f>H136</f>
        <v>0</v>
      </c>
    </row>
    <row r="136" spans="1:8" ht="22.5" customHeight="1" x14ac:dyDescent="0.25">
      <c r="A136" s="51"/>
      <c r="B136" s="62"/>
      <c r="C136" s="5" t="s">
        <v>36</v>
      </c>
      <c r="D136" s="5" t="s">
        <v>111</v>
      </c>
      <c r="E136" s="6">
        <f>E137+E138</f>
        <v>200</v>
      </c>
      <c r="F136" s="6">
        <f>F137+F138</f>
        <v>0</v>
      </c>
      <c r="G136" s="6" t="s">
        <v>47</v>
      </c>
      <c r="H136" s="6">
        <f>H137+H138</f>
        <v>0</v>
      </c>
    </row>
    <row r="137" spans="1:8" ht="24" x14ac:dyDescent="0.25">
      <c r="A137" s="51"/>
      <c r="B137" s="62"/>
      <c r="C137" s="7" t="s">
        <v>272</v>
      </c>
      <c r="D137" s="5" t="s">
        <v>112</v>
      </c>
      <c r="E137" s="6">
        <f>200</f>
        <v>200</v>
      </c>
      <c r="F137" s="6">
        <f>0</f>
        <v>0</v>
      </c>
      <c r="G137" s="6" t="s">
        <v>47</v>
      </c>
      <c r="H137" s="6">
        <f>0</f>
        <v>0</v>
      </c>
    </row>
    <row r="138" spans="1:8" ht="48" x14ac:dyDescent="0.25">
      <c r="A138" s="51"/>
      <c r="B138" s="62"/>
      <c r="C138" s="7" t="s">
        <v>273</v>
      </c>
      <c r="D138" s="5" t="s">
        <v>113</v>
      </c>
      <c r="E138" s="6">
        <f>0</f>
        <v>0</v>
      </c>
      <c r="F138" s="6">
        <f>0</f>
        <v>0</v>
      </c>
      <c r="G138" s="6" t="s">
        <v>10</v>
      </c>
      <c r="H138" s="6">
        <f>0</f>
        <v>0</v>
      </c>
    </row>
    <row r="139" spans="1:8" ht="19.5" customHeight="1" x14ac:dyDescent="0.25">
      <c r="A139" s="51"/>
      <c r="B139" s="62"/>
      <c r="C139" s="3" t="s">
        <v>25</v>
      </c>
      <c r="D139" s="3" t="s">
        <v>114</v>
      </c>
      <c r="E139" s="4">
        <f>E140</f>
        <v>24603.4</v>
      </c>
      <c r="F139" s="4">
        <f>F140</f>
        <v>23985.579999999998</v>
      </c>
      <c r="G139" s="4" t="s">
        <v>759</v>
      </c>
      <c r="H139" s="4">
        <f>H140</f>
        <v>23985.579999999998</v>
      </c>
    </row>
    <row r="140" spans="1:8" ht="24" x14ac:dyDescent="0.25">
      <c r="A140" s="51"/>
      <c r="B140" s="62"/>
      <c r="C140" s="5" t="s">
        <v>30</v>
      </c>
      <c r="D140" s="5" t="s">
        <v>115</v>
      </c>
      <c r="E140" s="6">
        <f>E141+E150</f>
        <v>24603.4</v>
      </c>
      <c r="F140" s="6">
        <f>F141+F150</f>
        <v>23985.579999999998</v>
      </c>
      <c r="G140" s="6" t="s">
        <v>759</v>
      </c>
      <c r="H140" s="6">
        <f>H141+H150</f>
        <v>23985.579999999998</v>
      </c>
    </row>
    <row r="141" spans="1:8" ht="18" customHeight="1" x14ac:dyDescent="0.25">
      <c r="A141" s="51"/>
      <c r="B141" s="62"/>
      <c r="C141" s="7" t="s">
        <v>268</v>
      </c>
      <c r="D141" s="5" t="s">
        <v>116</v>
      </c>
      <c r="E141" s="6">
        <f>E142+E143+E144+E145+E146+E147+E148+E149</f>
        <v>24603.4</v>
      </c>
      <c r="F141" s="6">
        <f>F142+F143+F144+F145+F146+F147+F148+F149</f>
        <v>23985.579999999998</v>
      </c>
      <c r="G141" s="6" t="s">
        <v>759</v>
      </c>
      <c r="H141" s="6">
        <f>H142+H143+H144+H145+H146+H147+H148+H149</f>
        <v>23985.579999999998</v>
      </c>
    </row>
    <row r="142" spans="1:8" ht="18" customHeight="1" x14ac:dyDescent="0.25">
      <c r="A142" s="51"/>
      <c r="B142" s="62"/>
      <c r="C142" s="7" t="s">
        <v>303</v>
      </c>
      <c r="D142" s="5" t="s">
        <v>117</v>
      </c>
      <c r="E142" s="6">
        <f>1906.05+1822.13+2009.4</f>
        <v>5737.58</v>
      </c>
      <c r="F142" s="6">
        <f>1906.05+1822.13+2009.4</f>
        <v>5737.58</v>
      </c>
      <c r="G142" s="6" t="s">
        <v>282</v>
      </c>
      <c r="H142" s="6">
        <f>1906.05+1822.13+2009.4</f>
        <v>5737.58</v>
      </c>
    </row>
    <row r="143" spans="1:8" ht="24" x14ac:dyDescent="0.25">
      <c r="A143" s="51"/>
      <c r="B143" s="62"/>
      <c r="C143" s="7" t="s">
        <v>304</v>
      </c>
      <c r="D143" s="5" t="s">
        <v>774</v>
      </c>
      <c r="E143" s="6">
        <f>10643.4+1204.2</f>
        <v>11847.6</v>
      </c>
      <c r="F143" s="6">
        <f>10643.4+1006.8</f>
        <v>11650.199999999999</v>
      </c>
      <c r="G143" s="6" t="s">
        <v>760</v>
      </c>
      <c r="H143" s="6">
        <f>10643.4+1006.8</f>
        <v>11650.199999999999</v>
      </c>
    </row>
    <row r="144" spans="1:8" ht="24" x14ac:dyDescent="0.25">
      <c r="A144" s="51"/>
      <c r="B144" s="62"/>
      <c r="C144" s="7" t="s">
        <v>305</v>
      </c>
      <c r="D144" s="5" t="s">
        <v>118</v>
      </c>
      <c r="E144" s="6">
        <f>162+2916</f>
        <v>3078</v>
      </c>
      <c r="F144" s="6">
        <f>162+2916</f>
        <v>3078</v>
      </c>
      <c r="G144" s="6" t="s">
        <v>282</v>
      </c>
      <c r="H144" s="6">
        <f>162+2916</f>
        <v>3078</v>
      </c>
    </row>
    <row r="145" spans="1:8" ht="36" x14ac:dyDescent="0.25">
      <c r="A145" s="51"/>
      <c r="B145" s="62"/>
      <c r="C145" s="7" t="s">
        <v>306</v>
      </c>
      <c r="D145" s="5" t="s">
        <v>119</v>
      </c>
      <c r="E145" s="6">
        <f>1067.96+75.6</f>
        <v>1143.56</v>
      </c>
      <c r="F145" s="6">
        <f>869.05</f>
        <v>869.05</v>
      </c>
      <c r="G145" s="6" t="s">
        <v>761</v>
      </c>
      <c r="H145" s="6">
        <f>869.05</f>
        <v>869.05</v>
      </c>
    </row>
    <row r="146" spans="1:8" ht="24" x14ac:dyDescent="0.25">
      <c r="A146" s="51"/>
      <c r="B146" s="62"/>
      <c r="C146" s="7" t="s">
        <v>307</v>
      </c>
      <c r="D146" s="5" t="s">
        <v>120</v>
      </c>
      <c r="E146" s="6">
        <f>45.2</f>
        <v>45.2</v>
      </c>
      <c r="F146" s="6">
        <f>45.2</f>
        <v>45.2</v>
      </c>
      <c r="G146" s="6" t="s">
        <v>282</v>
      </c>
      <c r="H146" s="6">
        <f>45.2</f>
        <v>45.2</v>
      </c>
    </row>
    <row r="147" spans="1:8" x14ac:dyDescent="0.25">
      <c r="A147" s="51"/>
      <c r="B147" s="62"/>
      <c r="C147" s="7" t="s">
        <v>308</v>
      </c>
      <c r="D147" s="5" t="s">
        <v>121</v>
      </c>
      <c r="E147" s="6">
        <f>0</f>
        <v>0</v>
      </c>
      <c r="F147" s="6">
        <f>0</f>
        <v>0</v>
      </c>
      <c r="G147" s="6" t="s">
        <v>10</v>
      </c>
      <c r="H147" s="6">
        <f>0</f>
        <v>0</v>
      </c>
    </row>
    <row r="148" spans="1:8" x14ac:dyDescent="0.25">
      <c r="A148" s="51"/>
      <c r="B148" s="62"/>
      <c r="C148" s="7" t="s">
        <v>309</v>
      </c>
      <c r="D148" s="5" t="s">
        <v>122</v>
      </c>
      <c r="E148" s="6">
        <f>2751.46</f>
        <v>2751.46</v>
      </c>
      <c r="F148" s="6">
        <f>2605.55</f>
        <v>2605.5500000000002</v>
      </c>
      <c r="G148" s="6" t="s">
        <v>762</v>
      </c>
      <c r="H148" s="6">
        <f>2605.55</f>
        <v>2605.5500000000002</v>
      </c>
    </row>
    <row r="149" spans="1:8" x14ac:dyDescent="0.25">
      <c r="A149" s="51"/>
      <c r="B149" s="62"/>
      <c r="C149" s="7" t="s">
        <v>310</v>
      </c>
      <c r="D149" s="5" t="s">
        <v>123</v>
      </c>
      <c r="E149" s="6">
        <f>0</f>
        <v>0</v>
      </c>
      <c r="F149" s="6">
        <f>0</f>
        <v>0</v>
      </c>
      <c r="G149" s="6" t="s">
        <v>10</v>
      </c>
      <c r="H149" s="6">
        <f>0</f>
        <v>0</v>
      </c>
    </row>
    <row r="150" spans="1:8" ht="24" customHeight="1" x14ac:dyDescent="0.25">
      <c r="A150" s="51"/>
      <c r="B150" s="62"/>
      <c r="C150" s="7" t="s">
        <v>327</v>
      </c>
      <c r="D150" s="5" t="s">
        <v>763</v>
      </c>
      <c r="E150" s="6">
        <f>0</f>
        <v>0</v>
      </c>
      <c r="F150" s="6">
        <f>0</f>
        <v>0</v>
      </c>
      <c r="G150" s="6" t="s">
        <v>10</v>
      </c>
      <c r="H150" s="6">
        <f>0</f>
        <v>0</v>
      </c>
    </row>
    <row r="151" spans="1:8" ht="21" customHeight="1" x14ac:dyDescent="0.25">
      <c r="A151" s="51"/>
      <c r="B151" s="62"/>
      <c r="C151" s="3" t="s">
        <v>13</v>
      </c>
      <c r="D151" s="3" t="s">
        <v>40</v>
      </c>
      <c r="E151" s="4">
        <f>E152</f>
        <v>4555</v>
      </c>
      <c r="F151" s="4">
        <f>F152</f>
        <v>2928.35</v>
      </c>
      <c r="G151" s="4" t="s">
        <v>418</v>
      </c>
      <c r="H151" s="4">
        <f>H152</f>
        <v>2928.35</v>
      </c>
    </row>
    <row r="152" spans="1:8" x14ac:dyDescent="0.25">
      <c r="A152" s="51"/>
      <c r="B152" s="62"/>
      <c r="C152" s="5" t="s">
        <v>21</v>
      </c>
      <c r="D152" s="5" t="s">
        <v>41</v>
      </c>
      <c r="E152" s="6">
        <f>E153</f>
        <v>4555</v>
      </c>
      <c r="F152" s="6">
        <f>F153</f>
        <v>2928.35</v>
      </c>
      <c r="G152" s="6" t="s">
        <v>418</v>
      </c>
      <c r="H152" s="6">
        <f>H153</f>
        <v>2928.35</v>
      </c>
    </row>
    <row r="153" spans="1:8" ht="23.25" customHeight="1" x14ac:dyDescent="0.25">
      <c r="A153" s="51"/>
      <c r="B153" s="62"/>
      <c r="C153" s="7" t="s">
        <v>344</v>
      </c>
      <c r="D153" s="5" t="s">
        <v>395</v>
      </c>
      <c r="E153" s="6">
        <f>4555</f>
        <v>4555</v>
      </c>
      <c r="F153" s="6">
        <f>2928.35</f>
        <v>2928.35</v>
      </c>
      <c r="G153" s="6" t="s">
        <v>418</v>
      </c>
      <c r="H153" s="6">
        <f>2928.35</f>
        <v>2928.35</v>
      </c>
    </row>
    <row r="154" spans="1:8" ht="19.5" customHeight="1" x14ac:dyDescent="0.25">
      <c r="A154" s="51"/>
      <c r="B154" s="62"/>
      <c r="C154" s="3" t="s">
        <v>39</v>
      </c>
      <c r="D154" s="3" t="s">
        <v>124</v>
      </c>
      <c r="E154" s="4">
        <f>E155</f>
        <v>0</v>
      </c>
      <c r="F154" s="4">
        <f>F155</f>
        <v>0</v>
      </c>
      <c r="G154" s="4" t="s">
        <v>10</v>
      </c>
      <c r="H154" s="4">
        <f>H155</f>
        <v>0</v>
      </c>
    </row>
    <row r="155" spans="1:8" x14ac:dyDescent="0.25">
      <c r="A155" s="51"/>
      <c r="B155" s="62"/>
      <c r="C155" s="5" t="s">
        <v>21</v>
      </c>
      <c r="D155" s="5" t="s">
        <v>125</v>
      </c>
      <c r="E155" s="6">
        <f>0</f>
        <v>0</v>
      </c>
      <c r="F155" s="6">
        <f>0</f>
        <v>0</v>
      </c>
      <c r="G155" s="6" t="s">
        <v>10</v>
      </c>
      <c r="H155" s="6">
        <f>0</f>
        <v>0</v>
      </c>
    </row>
    <row r="156" spans="1:8" ht="19.5" customHeight="1" x14ac:dyDescent="0.25">
      <c r="A156" s="51"/>
      <c r="B156" s="62"/>
      <c r="C156" s="3" t="s">
        <v>43</v>
      </c>
      <c r="D156" s="3" t="s">
        <v>126</v>
      </c>
      <c r="E156" s="4">
        <f>E157+E158</f>
        <v>0</v>
      </c>
      <c r="F156" s="4">
        <f>F157+F158</f>
        <v>0</v>
      </c>
      <c r="G156" s="4" t="s">
        <v>10</v>
      </c>
      <c r="H156" s="4">
        <f>H157+H158</f>
        <v>0</v>
      </c>
    </row>
    <row r="157" spans="1:8" x14ac:dyDescent="0.25">
      <c r="A157" s="51"/>
      <c r="B157" s="62"/>
      <c r="C157" s="5" t="s">
        <v>21</v>
      </c>
      <c r="D157" s="5" t="s">
        <v>127</v>
      </c>
      <c r="E157" s="6">
        <f>0</f>
        <v>0</v>
      </c>
      <c r="F157" s="6">
        <f>0</f>
        <v>0</v>
      </c>
      <c r="G157" s="6" t="s">
        <v>10</v>
      </c>
      <c r="H157" s="6">
        <f>0</f>
        <v>0</v>
      </c>
    </row>
    <row r="158" spans="1:8" x14ac:dyDescent="0.25">
      <c r="A158" s="51"/>
      <c r="B158" s="62"/>
      <c r="C158" s="5" t="s">
        <v>36</v>
      </c>
      <c r="D158" s="5" t="s">
        <v>128</v>
      </c>
      <c r="E158" s="6">
        <f>0</f>
        <v>0</v>
      </c>
      <c r="F158" s="6">
        <f>0</f>
        <v>0</v>
      </c>
      <c r="G158" s="6" t="s">
        <v>10</v>
      </c>
      <c r="H158" s="6">
        <f>0</f>
        <v>0</v>
      </c>
    </row>
    <row r="159" spans="1:8" ht="19.5" customHeight="1" thickBot="1" x14ac:dyDescent="0.3">
      <c r="A159" s="57" t="s">
        <v>18</v>
      </c>
      <c r="B159" s="58"/>
      <c r="C159" s="58"/>
      <c r="D159" s="58"/>
      <c r="E159" s="37">
        <f>E121+E135+E139+E151+E154+E156</f>
        <v>74121.119999999995</v>
      </c>
      <c r="F159" s="34">
        <f>F121+F135+F139+F151+F154+F156</f>
        <v>50735.71</v>
      </c>
      <c r="G159" s="34" t="s">
        <v>764</v>
      </c>
      <c r="H159" s="34">
        <f>H121+H135+H139+H151+H154+H156</f>
        <v>50735.71</v>
      </c>
    </row>
    <row r="160" spans="1:8" ht="20.25" customHeight="1" x14ac:dyDescent="0.25">
      <c r="A160" s="66">
        <v>5</v>
      </c>
      <c r="B160" s="68" t="s">
        <v>129</v>
      </c>
      <c r="C160" s="30" t="s">
        <v>8</v>
      </c>
      <c r="D160" s="30" t="s">
        <v>130</v>
      </c>
      <c r="E160" s="27">
        <f>E161+E165</f>
        <v>28440.77</v>
      </c>
      <c r="F160" s="27">
        <f>F161+F165</f>
        <v>18378.59</v>
      </c>
      <c r="G160" s="27" t="s">
        <v>747</v>
      </c>
      <c r="H160" s="27">
        <f>H161+H165</f>
        <v>18378.59</v>
      </c>
    </row>
    <row r="161" spans="1:8" ht="24" x14ac:dyDescent="0.25">
      <c r="A161" s="67"/>
      <c r="B161" s="69"/>
      <c r="C161" s="5" t="s">
        <v>21</v>
      </c>
      <c r="D161" s="5" t="s">
        <v>131</v>
      </c>
      <c r="E161" s="6">
        <f>E162+E163+E164</f>
        <v>28220.77</v>
      </c>
      <c r="F161" s="6">
        <f>F162+F163+F164</f>
        <v>18378.59</v>
      </c>
      <c r="G161" s="6" t="s">
        <v>765</v>
      </c>
      <c r="H161" s="6">
        <f>H162+H163+H164</f>
        <v>18378.59</v>
      </c>
    </row>
    <row r="162" spans="1:8" ht="21.75" customHeight="1" x14ac:dyDescent="0.25">
      <c r="A162" s="67"/>
      <c r="B162" s="69"/>
      <c r="C162" s="7" t="s">
        <v>258</v>
      </c>
      <c r="D162" s="5" t="s">
        <v>311</v>
      </c>
      <c r="E162" s="6">
        <f>8107.29</f>
        <v>8107.29</v>
      </c>
      <c r="F162" s="6">
        <f>5475.92</f>
        <v>5475.92</v>
      </c>
      <c r="G162" s="6" t="s">
        <v>766</v>
      </c>
      <c r="H162" s="6">
        <f>5475.92</f>
        <v>5475.92</v>
      </c>
    </row>
    <row r="163" spans="1:8" ht="24" x14ac:dyDescent="0.25">
      <c r="A163" s="67"/>
      <c r="B163" s="69"/>
      <c r="C163" s="7" t="s">
        <v>262</v>
      </c>
      <c r="D163" s="5" t="s">
        <v>351</v>
      </c>
      <c r="E163" s="6">
        <f>1853.48</f>
        <v>1853.48</v>
      </c>
      <c r="F163" s="6">
        <f>273.47</f>
        <v>273.47000000000003</v>
      </c>
      <c r="G163" s="6" t="s">
        <v>767</v>
      </c>
      <c r="H163" s="6">
        <f>273.47</f>
        <v>273.47000000000003</v>
      </c>
    </row>
    <row r="164" spans="1:8" ht="19.5" customHeight="1" x14ac:dyDescent="0.25">
      <c r="A164" s="67"/>
      <c r="B164" s="69"/>
      <c r="C164" s="7" t="s">
        <v>271</v>
      </c>
      <c r="D164" s="5" t="s">
        <v>312</v>
      </c>
      <c r="E164" s="6">
        <f>18260</f>
        <v>18260</v>
      </c>
      <c r="F164" s="6">
        <f>12629.2</f>
        <v>12629.2</v>
      </c>
      <c r="G164" s="6" t="s">
        <v>768</v>
      </c>
      <c r="H164" s="6">
        <f>12629.2</f>
        <v>12629.2</v>
      </c>
    </row>
    <row r="165" spans="1:8" ht="24" x14ac:dyDescent="0.25">
      <c r="A165" s="67"/>
      <c r="B165" s="69"/>
      <c r="C165" s="5" t="s">
        <v>248</v>
      </c>
      <c r="D165" s="5" t="s">
        <v>352</v>
      </c>
      <c r="E165" s="6">
        <f>E166+E167</f>
        <v>220</v>
      </c>
      <c r="F165" s="6">
        <f>F166+F167</f>
        <v>0</v>
      </c>
      <c r="G165" s="6" t="s">
        <v>47</v>
      </c>
      <c r="H165" s="6">
        <f>H166+H167</f>
        <v>0</v>
      </c>
    </row>
    <row r="166" spans="1:8" ht="24" x14ac:dyDescent="0.25">
      <c r="A166" s="67"/>
      <c r="B166" s="69"/>
      <c r="C166" s="7" t="s">
        <v>313</v>
      </c>
      <c r="D166" s="5" t="s">
        <v>314</v>
      </c>
      <c r="E166" s="6">
        <f>0</f>
        <v>0</v>
      </c>
      <c r="F166" s="6">
        <f>0</f>
        <v>0</v>
      </c>
      <c r="G166" s="6" t="s">
        <v>10</v>
      </c>
      <c r="H166" s="6">
        <f>0</f>
        <v>0</v>
      </c>
    </row>
    <row r="167" spans="1:8" ht="39" customHeight="1" x14ac:dyDescent="0.25">
      <c r="A167" s="67"/>
      <c r="B167" s="69"/>
      <c r="C167" s="7" t="s">
        <v>353</v>
      </c>
      <c r="D167" s="5" t="s">
        <v>354</v>
      </c>
      <c r="E167" s="6">
        <f>220</f>
        <v>220</v>
      </c>
      <c r="F167" s="6">
        <f>0</f>
        <v>0</v>
      </c>
      <c r="G167" s="6" t="s">
        <v>769</v>
      </c>
      <c r="H167" s="6">
        <f>0</f>
        <v>0</v>
      </c>
    </row>
    <row r="168" spans="1:8" ht="20.25" customHeight="1" x14ac:dyDescent="0.25">
      <c r="A168" s="67"/>
      <c r="B168" s="69"/>
      <c r="C168" s="3" t="s">
        <v>25</v>
      </c>
      <c r="D168" s="3" t="s">
        <v>132</v>
      </c>
      <c r="E168" s="4">
        <f>E169+E171</f>
        <v>116129</v>
      </c>
      <c r="F168" s="4">
        <f>F169+F171</f>
        <v>82025.289999999994</v>
      </c>
      <c r="G168" s="4" t="s">
        <v>770</v>
      </c>
      <c r="H168" s="4">
        <f>H169+H171</f>
        <v>82025.289999999994</v>
      </c>
    </row>
    <row r="169" spans="1:8" ht="18" customHeight="1" x14ac:dyDescent="0.25">
      <c r="A169" s="67"/>
      <c r="B169" s="69"/>
      <c r="C169" s="5" t="s">
        <v>21</v>
      </c>
      <c r="D169" s="5" t="s">
        <v>132</v>
      </c>
      <c r="E169" s="6">
        <f>E170</f>
        <v>96129</v>
      </c>
      <c r="F169" s="6">
        <f>F170</f>
        <v>67552.679999999993</v>
      </c>
      <c r="G169" s="6" t="s">
        <v>722</v>
      </c>
      <c r="H169" s="6">
        <f>H170</f>
        <v>67552.679999999993</v>
      </c>
    </row>
    <row r="170" spans="1:8" ht="24" x14ac:dyDescent="0.25">
      <c r="A170" s="67"/>
      <c r="B170" s="69"/>
      <c r="C170" s="7" t="s">
        <v>258</v>
      </c>
      <c r="D170" s="5" t="s">
        <v>315</v>
      </c>
      <c r="E170" s="6">
        <f>96129</f>
        <v>96129</v>
      </c>
      <c r="F170" s="6">
        <f>67552.68</f>
        <v>67552.679999999993</v>
      </c>
      <c r="G170" s="6" t="s">
        <v>722</v>
      </c>
      <c r="H170" s="6">
        <f>67552.68</f>
        <v>67552.679999999993</v>
      </c>
    </row>
    <row r="171" spans="1:8" ht="18" customHeight="1" x14ac:dyDescent="0.25">
      <c r="A171" s="67"/>
      <c r="B171" s="69"/>
      <c r="C171" s="5" t="s">
        <v>11</v>
      </c>
      <c r="D171" s="5" t="s">
        <v>133</v>
      </c>
      <c r="E171" s="6">
        <f>E172</f>
        <v>20000</v>
      </c>
      <c r="F171" s="6">
        <f>F172</f>
        <v>14472.61</v>
      </c>
      <c r="G171" s="6" t="s">
        <v>771</v>
      </c>
      <c r="H171" s="6">
        <f>H172</f>
        <v>14472.61</v>
      </c>
    </row>
    <row r="172" spans="1:8" ht="18" customHeight="1" x14ac:dyDescent="0.25">
      <c r="A172" s="67"/>
      <c r="B172" s="69"/>
      <c r="C172" s="7" t="s">
        <v>294</v>
      </c>
      <c r="D172" s="5" t="s">
        <v>316</v>
      </c>
      <c r="E172" s="6">
        <f>4820+15180</f>
        <v>20000</v>
      </c>
      <c r="F172" s="6">
        <f>4820+9652.61</f>
        <v>14472.61</v>
      </c>
      <c r="G172" s="6" t="s">
        <v>771</v>
      </c>
      <c r="H172" s="6">
        <f>4820+9652.61</f>
        <v>14472.61</v>
      </c>
    </row>
    <row r="173" spans="1:8" ht="21.75" customHeight="1" x14ac:dyDescent="0.25">
      <c r="A173" s="67"/>
      <c r="B173" s="69"/>
      <c r="C173" s="3" t="s">
        <v>29</v>
      </c>
      <c r="D173" s="3" t="s">
        <v>40</v>
      </c>
      <c r="E173" s="4">
        <f>E174</f>
        <v>5581.78</v>
      </c>
      <c r="F173" s="4">
        <f>F174</f>
        <v>3955.66</v>
      </c>
      <c r="G173" s="4" t="s">
        <v>772</v>
      </c>
      <c r="H173" s="4">
        <f>H174</f>
        <v>3955.66</v>
      </c>
    </row>
    <row r="174" spans="1:8" ht="19.5" customHeight="1" x14ac:dyDescent="0.25">
      <c r="A174" s="67"/>
      <c r="B174" s="69"/>
      <c r="C174" s="5" t="s">
        <v>21</v>
      </c>
      <c r="D174" s="5" t="s">
        <v>41</v>
      </c>
      <c r="E174" s="6">
        <f>E175+E176</f>
        <v>5581.78</v>
      </c>
      <c r="F174" s="6">
        <f>F175+F176</f>
        <v>3955.66</v>
      </c>
      <c r="G174" s="6" t="s">
        <v>772</v>
      </c>
      <c r="H174" s="6">
        <f>H175+H176</f>
        <v>3955.66</v>
      </c>
    </row>
    <row r="175" spans="1:8" ht="19.5" customHeight="1" x14ac:dyDescent="0.25">
      <c r="A175" s="67"/>
      <c r="B175" s="69"/>
      <c r="C175" s="7" t="s">
        <v>258</v>
      </c>
      <c r="D175" s="5" t="s">
        <v>317</v>
      </c>
      <c r="E175" s="6">
        <f>5581.78</f>
        <v>5581.78</v>
      </c>
      <c r="F175" s="6">
        <f>3955.66</f>
        <v>3955.66</v>
      </c>
      <c r="G175" s="6" t="s">
        <v>772</v>
      </c>
      <c r="H175" s="6">
        <f>3955.66</f>
        <v>3955.66</v>
      </c>
    </row>
    <row r="176" spans="1:8" ht="19.5" customHeight="1" x14ac:dyDescent="0.25">
      <c r="A176" s="67"/>
      <c r="B176" s="69"/>
      <c r="C176" s="7" t="s">
        <v>262</v>
      </c>
      <c r="D176" s="5" t="s">
        <v>429</v>
      </c>
      <c r="E176" s="6">
        <f>0</f>
        <v>0</v>
      </c>
      <c r="F176" s="6">
        <f>0</f>
        <v>0</v>
      </c>
      <c r="G176" s="6" t="s">
        <v>10</v>
      </c>
      <c r="H176" s="6">
        <f>0</f>
        <v>0</v>
      </c>
    </row>
    <row r="177" spans="1:8" ht="21" customHeight="1" thickBot="1" x14ac:dyDescent="0.3">
      <c r="A177" s="57" t="s">
        <v>18</v>
      </c>
      <c r="B177" s="58"/>
      <c r="C177" s="58"/>
      <c r="D177" s="58"/>
      <c r="E177" s="37">
        <f>E160+E168+E173</f>
        <v>150151.54999999999</v>
      </c>
      <c r="F177" s="34">
        <f>F160+F168+F173</f>
        <v>104359.54</v>
      </c>
      <c r="G177" s="34" t="s">
        <v>773</v>
      </c>
      <c r="H177" s="34">
        <f>H160+H168+H173</f>
        <v>104359.54</v>
      </c>
    </row>
    <row r="178" spans="1:8" ht="21.75" customHeight="1" x14ac:dyDescent="0.25">
      <c r="A178" s="63">
        <v>6</v>
      </c>
      <c r="B178" s="64" t="s">
        <v>134</v>
      </c>
      <c r="C178" s="3" t="s">
        <v>20</v>
      </c>
      <c r="D178" s="3" t="s">
        <v>318</v>
      </c>
      <c r="E178" s="4">
        <f>E179</f>
        <v>100</v>
      </c>
      <c r="F178" s="4">
        <f>F179</f>
        <v>100</v>
      </c>
      <c r="G178" s="21" t="s">
        <v>282</v>
      </c>
      <c r="H178" s="26">
        <f>H179</f>
        <v>100</v>
      </c>
    </row>
    <row r="179" spans="1:8" ht="18.75" customHeight="1" x14ac:dyDescent="0.25">
      <c r="A179" s="51"/>
      <c r="B179" s="65"/>
      <c r="C179" s="5" t="s">
        <v>21</v>
      </c>
      <c r="D179" s="5" t="s">
        <v>397</v>
      </c>
      <c r="E179" s="6">
        <f>E180</f>
        <v>100</v>
      </c>
      <c r="F179" s="6">
        <f>F180</f>
        <v>100</v>
      </c>
      <c r="G179" s="22" t="s">
        <v>282</v>
      </c>
      <c r="H179" s="25">
        <f>H180</f>
        <v>100</v>
      </c>
    </row>
    <row r="180" spans="1:8" ht="18.75" customHeight="1" x14ac:dyDescent="0.25">
      <c r="A180" s="51"/>
      <c r="B180" s="65"/>
      <c r="C180" s="7" t="s">
        <v>262</v>
      </c>
      <c r="D180" s="5" t="s">
        <v>319</v>
      </c>
      <c r="E180" s="6">
        <f>100</f>
        <v>100</v>
      </c>
      <c r="F180" s="6">
        <f>100</f>
        <v>100</v>
      </c>
      <c r="G180" s="22" t="s">
        <v>282</v>
      </c>
      <c r="H180" s="25">
        <f>100</f>
        <v>100</v>
      </c>
    </row>
    <row r="181" spans="1:8" ht="24" x14ac:dyDescent="0.25">
      <c r="A181" s="51"/>
      <c r="B181" s="65"/>
      <c r="C181" s="3" t="s">
        <v>29</v>
      </c>
      <c r="D181" s="3" t="s">
        <v>398</v>
      </c>
      <c r="E181" s="4">
        <f>E182</f>
        <v>2601</v>
      </c>
      <c r="F181" s="4">
        <f>F182</f>
        <v>266.99</v>
      </c>
      <c r="G181" s="21" t="s">
        <v>775</v>
      </c>
      <c r="H181" s="24">
        <f>H182</f>
        <v>266.99</v>
      </c>
    </row>
    <row r="182" spans="1:8" ht="24" x14ac:dyDescent="0.25">
      <c r="A182" s="51"/>
      <c r="B182" s="65"/>
      <c r="C182" s="5" t="s">
        <v>21</v>
      </c>
      <c r="D182" s="5" t="s">
        <v>135</v>
      </c>
      <c r="E182" s="6">
        <f>E183</f>
        <v>2601</v>
      </c>
      <c r="F182" s="6">
        <f>F183</f>
        <v>266.99</v>
      </c>
      <c r="G182" s="22" t="s">
        <v>775</v>
      </c>
      <c r="H182" s="25">
        <f>H183</f>
        <v>266.99</v>
      </c>
    </row>
    <row r="183" spans="1:8" ht="24" x14ac:dyDescent="0.25">
      <c r="A183" s="51"/>
      <c r="B183" s="65"/>
      <c r="C183" s="7" t="s">
        <v>258</v>
      </c>
      <c r="D183" s="5" t="s">
        <v>399</v>
      </c>
      <c r="E183" s="6">
        <f>2601</f>
        <v>2601</v>
      </c>
      <c r="F183" s="6">
        <f>266.99</f>
        <v>266.99</v>
      </c>
      <c r="G183" s="22" t="s">
        <v>775</v>
      </c>
      <c r="H183" s="25">
        <f>266.99</f>
        <v>266.99</v>
      </c>
    </row>
    <row r="184" spans="1:8" ht="20.25" customHeight="1" thickBot="1" x14ac:dyDescent="0.3">
      <c r="A184" s="59" t="s">
        <v>18</v>
      </c>
      <c r="B184" s="60"/>
      <c r="C184" s="60"/>
      <c r="D184" s="60"/>
      <c r="E184" s="37">
        <f>E178+E181</f>
        <v>2701</v>
      </c>
      <c r="F184" s="34">
        <f>F178+F181</f>
        <v>366.99</v>
      </c>
      <c r="G184" s="38" t="s">
        <v>776</v>
      </c>
      <c r="H184" s="40">
        <f>H178+H181</f>
        <v>366.99</v>
      </c>
    </row>
    <row r="185" spans="1:8" ht="18.75" customHeight="1" x14ac:dyDescent="0.25">
      <c r="A185" s="61">
        <v>7</v>
      </c>
      <c r="B185" s="62" t="s">
        <v>136</v>
      </c>
      <c r="C185" s="3" t="s">
        <v>8</v>
      </c>
      <c r="D185" s="3" t="s">
        <v>233</v>
      </c>
      <c r="E185" s="4">
        <f>E186+E192</f>
        <v>300</v>
      </c>
      <c r="F185" s="4">
        <f>F186+F192</f>
        <v>110.02000000000001</v>
      </c>
      <c r="G185" s="21" t="s">
        <v>777</v>
      </c>
      <c r="H185" s="26">
        <f>H186+H192</f>
        <v>110.02000000000001</v>
      </c>
    </row>
    <row r="186" spans="1:8" ht="18" customHeight="1" x14ac:dyDescent="0.25">
      <c r="A186" s="61"/>
      <c r="B186" s="62"/>
      <c r="C186" s="5" t="s">
        <v>21</v>
      </c>
      <c r="D186" s="5" t="s">
        <v>234</v>
      </c>
      <c r="E186" s="6">
        <f>E187+E189+E191</f>
        <v>250</v>
      </c>
      <c r="F186" s="6">
        <f>F187+F189+F191</f>
        <v>110.02000000000001</v>
      </c>
      <c r="G186" s="22" t="s">
        <v>639</v>
      </c>
      <c r="H186" s="25">
        <f>H187+H189+H191</f>
        <v>110.02000000000001</v>
      </c>
    </row>
    <row r="187" spans="1:8" ht="17.25" customHeight="1" x14ac:dyDescent="0.25">
      <c r="A187" s="61"/>
      <c r="B187" s="62"/>
      <c r="C187" s="7" t="s">
        <v>258</v>
      </c>
      <c r="D187" s="5" t="s">
        <v>234</v>
      </c>
      <c r="E187" s="6">
        <f>E188</f>
        <v>100</v>
      </c>
      <c r="F187" s="6">
        <f>F188</f>
        <v>50.81</v>
      </c>
      <c r="G187" s="22" t="s">
        <v>430</v>
      </c>
      <c r="H187" s="25">
        <f>H188</f>
        <v>50.81</v>
      </c>
    </row>
    <row r="188" spans="1:8" ht="17.25" customHeight="1" x14ac:dyDescent="0.25">
      <c r="A188" s="61"/>
      <c r="B188" s="62"/>
      <c r="C188" s="7" t="s">
        <v>259</v>
      </c>
      <c r="D188" s="5" t="s">
        <v>778</v>
      </c>
      <c r="E188" s="6">
        <f>100</f>
        <v>100</v>
      </c>
      <c r="F188" s="6">
        <f>50.81</f>
        <v>50.81</v>
      </c>
      <c r="G188" s="22" t="s">
        <v>430</v>
      </c>
      <c r="H188" s="25">
        <f>50.81</f>
        <v>50.81</v>
      </c>
    </row>
    <row r="189" spans="1:8" ht="51.75" customHeight="1" x14ac:dyDescent="0.25">
      <c r="A189" s="61"/>
      <c r="B189" s="62"/>
      <c r="C189" s="7" t="s">
        <v>262</v>
      </c>
      <c r="D189" s="5" t="s">
        <v>355</v>
      </c>
      <c r="E189" s="6">
        <f>E190</f>
        <v>150</v>
      </c>
      <c r="F189" s="6">
        <f>F190</f>
        <v>59.21</v>
      </c>
      <c r="G189" s="22" t="s">
        <v>558</v>
      </c>
      <c r="H189" s="25">
        <f>H190</f>
        <v>59.21</v>
      </c>
    </row>
    <row r="190" spans="1:8" ht="61.5" customHeight="1" x14ac:dyDescent="0.25">
      <c r="A190" s="61"/>
      <c r="B190" s="62"/>
      <c r="C190" s="7" t="s">
        <v>263</v>
      </c>
      <c r="D190" s="5" t="s">
        <v>779</v>
      </c>
      <c r="E190" s="6">
        <f>150</f>
        <v>150</v>
      </c>
      <c r="F190" s="6">
        <f>59.21</f>
        <v>59.21</v>
      </c>
      <c r="G190" s="22" t="s">
        <v>558</v>
      </c>
      <c r="H190" s="25">
        <f>59.21</f>
        <v>59.21</v>
      </c>
    </row>
    <row r="191" spans="1:8" ht="40.5" customHeight="1" x14ac:dyDescent="0.25">
      <c r="A191" s="61"/>
      <c r="B191" s="62"/>
      <c r="C191" s="7" t="s">
        <v>266</v>
      </c>
      <c r="D191" s="5" t="s">
        <v>400</v>
      </c>
      <c r="E191" s="6">
        <f>0</f>
        <v>0</v>
      </c>
      <c r="F191" s="6">
        <f>0</f>
        <v>0</v>
      </c>
      <c r="G191" s="22" t="s">
        <v>10</v>
      </c>
      <c r="H191" s="25">
        <f>0</f>
        <v>0</v>
      </c>
    </row>
    <row r="192" spans="1:8" x14ac:dyDescent="0.25">
      <c r="A192" s="61"/>
      <c r="B192" s="62"/>
      <c r="C192" s="5" t="s">
        <v>11</v>
      </c>
      <c r="D192" s="5" t="s">
        <v>235</v>
      </c>
      <c r="E192" s="6">
        <f>E193+E197+E198</f>
        <v>50</v>
      </c>
      <c r="F192" s="6">
        <f>F193+F197+F198</f>
        <v>0</v>
      </c>
      <c r="G192" s="22" t="s">
        <v>47</v>
      </c>
      <c r="H192" s="25">
        <f>H193+H197+H198</f>
        <v>0</v>
      </c>
    </row>
    <row r="193" spans="1:8" x14ac:dyDescent="0.25">
      <c r="A193" s="61"/>
      <c r="B193" s="62"/>
      <c r="C193" s="7" t="s">
        <v>256</v>
      </c>
      <c r="D193" s="5" t="s">
        <v>235</v>
      </c>
      <c r="E193" s="6">
        <f>E194+E195+E196</f>
        <v>50</v>
      </c>
      <c r="F193" s="6">
        <f>F194+F195+F196</f>
        <v>0</v>
      </c>
      <c r="G193" s="22" t="s">
        <v>47</v>
      </c>
      <c r="H193" s="25">
        <f>H194+H195+H196</f>
        <v>0</v>
      </c>
    </row>
    <row r="194" spans="1:8" ht="18" customHeight="1" x14ac:dyDescent="0.25">
      <c r="A194" s="61"/>
      <c r="B194" s="62"/>
      <c r="C194" s="7" t="s">
        <v>780</v>
      </c>
      <c r="D194" s="5" t="s">
        <v>235</v>
      </c>
      <c r="E194" s="6">
        <f>50</f>
        <v>50</v>
      </c>
      <c r="F194" s="6">
        <f>0</f>
        <v>0</v>
      </c>
      <c r="G194" s="22" t="s">
        <v>47</v>
      </c>
      <c r="H194" s="25">
        <f>0</f>
        <v>0</v>
      </c>
    </row>
    <row r="195" spans="1:8" x14ac:dyDescent="0.25">
      <c r="A195" s="61"/>
      <c r="B195" s="62"/>
      <c r="C195" s="7" t="s">
        <v>781</v>
      </c>
      <c r="D195" s="5" t="s">
        <v>782</v>
      </c>
      <c r="E195" s="6">
        <f>0</f>
        <v>0</v>
      </c>
      <c r="F195" s="6">
        <f>0</f>
        <v>0</v>
      </c>
      <c r="G195" s="22" t="s">
        <v>10</v>
      </c>
      <c r="H195" s="25">
        <f>0</f>
        <v>0</v>
      </c>
    </row>
    <row r="196" spans="1:8" x14ac:dyDescent="0.25">
      <c r="A196" s="61"/>
      <c r="B196" s="62"/>
      <c r="C196" s="7" t="s">
        <v>783</v>
      </c>
      <c r="D196" s="5" t="s">
        <v>784</v>
      </c>
      <c r="E196" s="6">
        <f>0</f>
        <v>0</v>
      </c>
      <c r="F196" s="6">
        <f>0</f>
        <v>0</v>
      </c>
      <c r="G196" s="22" t="s">
        <v>10</v>
      </c>
      <c r="H196" s="25">
        <f>0</f>
        <v>0</v>
      </c>
    </row>
    <row r="197" spans="1:8" ht="18" customHeight="1" x14ac:dyDescent="0.25">
      <c r="A197" s="61"/>
      <c r="B197" s="62"/>
      <c r="C197" s="7" t="s">
        <v>294</v>
      </c>
      <c r="D197" s="5" t="s">
        <v>401</v>
      </c>
      <c r="E197" s="6">
        <f>0</f>
        <v>0</v>
      </c>
      <c r="F197" s="6">
        <f>0</f>
        <v>0</v>
      </c>
      <c r="G197" s="22" t="s">
        <v>10</v>
      </c>
      <c r="H197" s="25">
        <f>0</f>
        <v>0</v>
      </c>
    </row>
    <row r="198" spans="1:8" x14ac:dyDescent="0.25">
      <c r="A198" s="61"/>
      <c r="B198" s="62"/>
      <c r="C198" s="7" t="s">
        <v>287</v>
      </c>
      <c r="D198" s="5" t="s">
        <v>402</v>
      </c>
      <c r="E198" s="6">
        <f>0</f>
        <v>0</v>
      </c>
      <c r="F198" s="6">
        <f>0</f>
        <v>0</v>
      </c>
      <c r="G198" s="22" t="s">
        <v>10</v>
      </c>
      <c r="H198" s="25">
        <f>0</f>
        <v>0</v>
      </c>
    </row>
    <row r="199" spans="1:8" ht="18.75" customHeight="1" x14ac:dyDescent="0.25">
      <c r="A199" s="61"/>
      <c r="B199" s="62"/>
      <c r="C199" s="3" t="s">
        <v>20</v>
      </c>
      <c r="D199" s="3" t="s">
        <v>403</v>
      </c>
      <c r="E199" s="4">
        <f>E200+E201</f>
        <v>135.97</v>
      </c>
      <c r="F199" s="4">
        <f>F200+F201</f>
        <v>119.55</v>
      </c>
      <c r="G199" s="21" t="s">
        <v>785</v>
      </c>
      <c r="H199" s="24">
        <f>H200+H201</f>
        <v>119.55</v>
      </c>
    </row>
    <row r="200" spans="1:8" x14ac:dyDescent="0.25">
      <c r="A200" s="61"/>
      <c r="B200" s="62"/>
      <c r="C200" s="5" t="s">
        <v>21</v>
      </c>
      <c r="D200" s="5" t="s">
        <v>404</v>
      </c>
      <c r="E200" s="6">
        <f>0</f>
        <v>0</v>
      </c>
      <c r="F200" s="6">
        <f>0</f>
        <v>0</v>
      </c>
      <c r="G200" s="22" t="s">
        <v>10</v>
      </c>
      <c r="H200" s="25">
        <f>0</f>
        <v>0</v>
      </c>
    </row>
    <row r="201" spans="1:8" x14ac:dyDescent="0.25">
      <c r="A201" s="61"/>
      <c r="B201" s="62"/>
      <c r="C201" s="5" t="s">
        <v>90</v>
      </c>
      <c r="D201" s="5" t="s">
        <v>405</v>
      </c>
      <c r="E201" s="6">
        <f>E202</f>
        <v>135.97</v>
      </c>
      <c r="F201" s="6">
        <f>F202</f>
        <v>119.55</v>
      </c>
      <c r="G201" s="22" t="s">
        <v>785</v>
      </c>
      <c r="H201" s="25">
        <f>H202</f>
        <v>119.55</v>
      </c>
    </row>
    <row r="202" spans="1:8" ht="24" x14ac:dyDescent="0.25">
      <c r="A202" s="61"/>
      <c r="B202" s="62"/>
      <c r="C202" s="7" t="s">
        <v>378</v>
      </c>
      <c r="D202" s="5" t="s">
        <v>406</v>
      </c>
      <c r="E202" s="6">
        <f>32.77+103.2</f>
        <v>135.97</v>
      </c>
      <c r="F202" s="6">
        <f>28.81+90.74</f>
        <v>119.55</v>
      </c>
      <c r="G202" s="22" t="s">
        <v>785</v>
      </c>
      <c r="H202" s="25">
        <f>28.81+90.74</f>
        <v>119.55</v>
      </c>
    </row>
    <row r="203" spans="1:8" ht="18.75" customHeight="1" x14ac:dyDescent="0.25">
      <c r="A203" s="61"/>
      <c r="B203" s="62"/>
      <c r="C203" s="3" t="s">
        <v>13</v>
      </c>
      <c r="D203" s="3" t="s">
        <v>407</v>
      </c>
      <c r="E203" s="4">
        <f>E204</f>
        <v>540</v>
      </c>
      <c r="F203" s="4">
        <f>F204</f>
        <v>539.5</v>
      </c>
      <c r="G203" s="21" t="s">
        <v>786</v>
      </c>
      <c r="H203" s="24">
        <f>H204</f>
        <v>539.5</v>
      </c>
    </row>
    <row r="204" spans="1:8" x14ac:dyDescent="0.25">
      <c r="A204" s="61"/>
      <c r="B204" s="62"/>
      <c r="C204" s="5" t="s">
        <v>408</v>
      </c>
      <c r="D204" s="5" t="s">
        <v>409</v>
      </c>
      <c r="E204" s="6">
        <f>E205</f>
        <v>540</v>
      </c>
      <c r="F204" s="6">
        <f>F205</f>
        <v>539.5</v>
      </c>
      <c r="G204" s="22" t="s">
        <v>786</v>
      </c>
      <c r="H204" s="25">
        <f>H205</f>
        <v>539.5</v>
      </c>
    </row>
    <row r="205" spans="1:8" x14ac:dyDescent="0.25">
      <c r="A205" s="61"/>
      <c r="B205" s="62"/>
      <c r="C205" s="7" t="s">
        <v>410</v>
      </c>
      <c r="D205" s="5" t="s">
        <v>411</v>
      </c>
      <c r="E205" s="6">
        <f>540</f>
        <v>540</v>
      </c>
      <c r="F205" s="6">
        <f>539.5</f>
        <v>539.5</v>
      </c>
      <c r="G205" s="22" t="s">
        <v>786</v>
      </c>
      <c r="H205" s="25">
        <f>539.5</f>
        <v>539.5</v>
      </c>
    </row>
    <row r="206" spans="1:8" ht="20.25" customHeight="1" thickBot="1" x14ac:dyDescent="0.3">
      <c r="A206" s="59" t="s">
        <v>18</v>
      </c>
      <c r="B206" s="60"/>
      <c r="C206" s="60"/>
      <c r="D206" s="60"/>
      <c r="E206" s="37">
        <f>E185+E199+E203</f>
        <v>975.97</v>
      </c>
      <c r="F206" s="34">
        <f>F185+F199+F203</f>
        <v>769.06999999999994</v>
      </c>
      <c r="G206" s="35" t="s">
        <v>787</v>
      </c>
      <c r="H206" s="39">
        <f>H185+H199+H203</f>
        <v>769.06999999999994</v>
      </c>
    </row>
    <row r="207" spans="1:8" ht="19.5" customHeight="1" x14ac:dyDescent="0.25">
      <c r="A207" s="51">
        <v>8</v>
      </c>
      <c r="B207" s="62" t="s">
        <v>137</v>
      </c>
      <c r="C207" s="3" t="s">
        <v>8</v>
      </c>
      <c r="D207" s="3" t="s">
        <v>138</v>
      </c>
      <c r="E207" s="4">
        <f>E208+E217+E222+E230+E233+E237+E238</f>
        <v>24210.35</v>
      </c>
      <c r="F207" s="4">
        <f>F208+F217+F222+F230+F233+F237+F238</f>
        <v>14639.140000000001</v>
      </c>
      <c r="G207" s="4" t="s">
        <v>788</v>
      </c>
      <c r="H207" s="4">
        <f>H208+H217+H222+H230+H233+H237+H238</f>
        <v>14639.140000000001</v>
      </c>
    </row>
    <row r="208" spans="1:8" ht="24" x14ac:dyDescent="0.25">
      <c r="A208" s="51"/>
      <c r="B208" s="62"/>
      <c r="C208" s="5" t="s">
        <v>21</v>
      </c>
      <c r="D208" s="5" t="s">
        <v>356</v>
      </c>
      <c r="E208" s="6">
        <f>E209+E210+E211</f>
        <v>9397.9299999999985</v>
      </c>
      <c r="F208" s="6">
        <f>F209+F210+F211</f>
        <v>3748.09</v>
      </c>
      <c r="G208" s="6" t="s">
        <v>789</v>
      </c>
      <c r="H208" s="6">
        <f>H209+H210+H211</f>
        <v>3748.09</v>
      </c>
    </row>
    <row r="209" spans="1:8" x14ac:dyDescent="0.25">
      <c r="A209" s="51"/>
      <c r="B209" s="62"/>
      <c r="C209" s="7" t="s">
        <v>258</v>
      </c>
      <c r="D209" s="5" t="s">
        <v>357</v>
      </c>
      <c r="E209" s="6">
        <f>0</f>
        <v>0</v>
      </c>
      <c r="F209" s="6">
        <f>0</f>
        <v>0</v>
      </c>
      <c r="G209" s="6" t="s">
        <v>10</v>
      </c>
      <c r="H209" s="6">
        <f>0</f>
        <v>0</v>
      </c>
    </row>
    <row r="210" spans="1:8" ht="24" x14ac:dyDescent="0.25">
      <c r="A210" s="51"/>
      <c r="B210" s="62"/>
      <c r="C210" s="7" t="s">
        <v>262</v>
      </c>
      <c r="D210" s="5" t="s">
        <v>139</v>
      </c>
      <c r="E210" s="6">
        <f>106</f>
        <v>106</v>
      </c>
      <c r="F210" s="6">
        <f>37</f>
        <v>37</v>
      </c>
      <c r="G210" s="6" t="s">
        <v>790</v>
      </c>
      <c r="H210" s="6">
        <f>37</f>
        <v>37</v>
      </c>
    </row>
    <row r="211" spans="1:8" ht="24" x14ac:dyDescent="0.25">
      <c r="A211" s="51"/>
      <c r="B211" s="62"/>
      <c r="C211" s="7" t="s">
        <v>271</v>
      </c>
      <c r="D211" s="5" t="s">
        <v>358</v>
      </c>
      <c r="E211" s="6">
        <f>E212+E213+E214+E215+E216</f>
        <v>9291.9299999999985</v>
      </c>
      <c r="F211" s="6">
        <f>F212+F213+F214+F215+F216</f>
        <v>3711.09</v>
      </c>
      <c r="G211" s="6" t="s">
        <v>789</v>
      </c>
      <c r="H211" s="6">
        <f>H212+H213+H214+H215+H216</f>
        <v>3711.09</v>
      </c>
    </row>
    <row r="212" spans="1:8" ht="17.25" customHeight="1" x14ac:dyDescent="0.25">
      <c r="A212" s="51"/>
      <c r="B212" s="62"/>
      <c r="C212" s="7" t="s">
        <v>320</v>
      </c>
      <c r="D212" s="5" t="s">
        <v>202</v>
      </c>
      <c r="E212" s="6">
        <f>4820.69</f>
        <v>4820.6899999999996</v>
      </c>
      <c r="F212" s="6">
        <f>2050.11</f>
        <v>2050.11</v>
      </c>
      <c r="G212" s="6" t="s">
        <v>666</v>
      </c>
      <c r="H212" s="6">
        <f>2050.11</f>
        <v>2050.11</v>
      </c>
    </row>
    <row r="213" spans="1:8" ht="17.25" customHeight="1" x14ac:dyDescent="0.25">
      <c r="A213" s="51"/>
      <c r="B213" s="62"/>
      <c r="C213" s="7" t="s">
        <v>321</v>
      </c>
      <c r="D213" s="5" t="s">
        <v>203</v>
      </c>
      <c r="E213" s="6">
        <f>1789.44</f>
        <v>1789.44</v>
      </c>
      <c r="F213" s="6">
        <f>984.19</f>
        <v>984.19</v>
      </c>
      <c r="G213" s="6" t="s">
        <v>601</v>
      </c>
      <c r="H213" s="6">
        <f>984.19</f>
        <v>984.19</v>
      </c>
    </row>
    <row r="214" spans="1:8" ht="17.25" customHeight="1" x14ac:dyDescent="0.25">
      <c r="A214" s="51"/>
      <c r="B214" s="62"/>
      <c r="C214" s="7" t="s">
        <v>322</v>
      </c>
      <c r="D214" s="5" t="s">
        <v>204</v>
      </c>
      <c r="E214" s="6">
        <f>1976.8</f>
        <v>1976.8</v>
      </c>
      <c r="F214" s="6">
        <f>206.79</f>
        <v>206.79</v>
      </c>
      <c r="G214" s="6" t="s">
        <v>791</v>
      </c>
      <c r="H214" s="6">
        <f>206.79</f>
        <v>206.79</v>
      </c>
    </row>
    <row r="215" spans="1:8" ht="17.25" customHeight="1" x14ac:dyDescent="0.25">
      <c r="A215" s="51"/>
      <c r="B215" s="62"/>
      <c r="C215" s="7" t="s">
        <v>323</v>
      </c>
      <c r="D215" s="5" t="s">
        <v>205</v>
      </c>
      <c r="E215" s="6">
        <f>45</f>
        <v>45</v>
      </c>
      <c r="F215" s="6">
        <f>7.5</f>
        <v>7.5</v>
      </c>
      <c r="G215" s="6" t="s">
        <v>792</v>
      </c>
      <c r="H215" s="6">
        <f>7.5</f>
        <v>7.5</v>
      </c>
    </row>
    <row r="216" spans="1:8" ht="24" x14ac:dyDescent="0.25">
      <c r="A216" s="51"/>
      <c r="B216" s="62"/>
      <c r="C216" s="7" t="s">
        <v>324</v>
      </c>
      <c r="D216" s="5" t="s">
        <v>206</v>
      </c>
      <c r="E216" s="6">
        <f>660</f>
        <v>660</v>
      </c>
      <c r="F216" s="6">
        <f>462.5</f>
        <v>462.5</v>
      </c>
      <c r="G216" s="6" t="s">
        <v>793</v>
      </c>
      <c r="H216" s="6">
        <f>462.5</f>
        <v>462.5</v>
      </c>
    </row>
    <row r="217" spans="1:8" ht="18.75" customHeight="1" x14ac:dyDescent="0.25">
      <c r="A217" s="51"/>
      <c r="B217" s="62"/>
      <c r="C217" s="5" t="s">
        <v>36</v>
      </c>
      <c r="D217" s="5" t="s">
        <v>140</v>
      </c>
      <c r="E217" s="6">
        <f>E218+E219+E220+E221</f>
        <v>967.15</v>
      </c>
      <c r="F217" s="6">
        <f>F218+F219+F220+F221</f>
        <v>109.1</v>
      </c>
      <c r="G217" s="6" t="s">
        <v>432</v>
      </c>
      <c r="H217" s="6">
        <f>H218+H219+H220+H221</f>
        <v>109.1</v>
      </c>
    </row>
    <row r="218" spans="1:8" x14ac:dyDescent="0.25">
      <c r="A218" s="51"/>
      <c r="B218" s="62"/>
      <c r="C218" s="7" t="s">
        <v>272</v>
      </c>
      <c r="D218" s="5" t="s">
        <v>359</v>
      </c>
      <c r="E218" s="6">
        <f>0</f>
        <v>0</v>
      </c>
      <c r="F218" s="6">
        <f>0</f>
        <v>0</v>
      </c>
      <c r="G218" s="6" t="s">
        <v>10</v>
      </c>
      <c r="H218" s="6">
        <f>0</f>
        <v>0</v>
      </c>
    </row>
    <row r="219" spans="1:8" ht="17.25" customHeight="1" x14ac:dyDescent="0.25">
      <c r="A219" s="51"/>
      <c r="B219" s="62"/>
      <c r="C219" s="7" t="s">
        <v>273</v>
      </c>
      <c r="D219" s="5" t="s">
        <v>141</v>
      </c>
      <c r="E219" s="6">
        <f>923.65</f>
        <v>923.65</v>
      </c>
      <c r="F219" s="6">
        <f>65.6</f>
        <v>65.599999999999994</v>
      </c>
      <c r="G219" s="6" t="s">
        <v>433</v>
      </c>
      <c r="H219" s="6">
        <f>65.6</f>
        <v>65.599999999999994</v>
      </c>
    </row>
    <row r="220" spans="1:8" ht="17.25" customHeight="1" x14ac:dyDescent="0.25">
      <c r="A220" s="51"/>
      <c r="B220" s="62"/>
      <c r="C220" s="7" t="s">
        <v>274</v>
      </c>
      <c r="D220" s="5" t="s">
        <v>360</v>
      </c>
      <c r="E220" s="6">
        <f>43.5</f>
        <v>43.5</v>
      </c>
      <c r="F220" s="6">
        <f>43.5</f>
        <v>43.5</v>
      </c>
      <c r="G220" s="6" t="s">
        <v>282</v>
      </c>
      <c r="H220" s="6">
        <f>43.5</f>
        <v>43.5</v>
      </c>
    </row>
    <row r="221" spans="1:8" x14ac:dyDescent="0.25">
      <c r="A221" s="51"/>
      <c r="B221" s="62"/>
      <c r="C221" s="7" t="s">
        <v>275</v>
      </c>
      <c r="D221" s="5" t="s">
        <v>142</v>
      </c>
      <c r="E221" s="6">
        <f>0</f>
        <v>0</v>
      </c>
      <c r="F221" s="6">
        <f>0</f>
        <v>0</v>
      </c>
      <c r="G221" s="6" t="s">
        <v>10</v>
      </c>
      <c r="H221" s="6">
        <f>0</f>
        <v>0</v>
      </c>
    </row>
    <row r="222" spans="1:8" ht="24" x14ac:dyDescent="0.25">
      <c r="A222" s="51"/>
      <c r="B222" s="62"/>
      <c r="C222" s="5" t="s">
        <v>11</v>
      </c>
      <c r="D222" s="5" t="s">
        <v>143</v>
      </c>
      <c r="E222" s="6">
        <f>E223+E224+E225+E226+E227+E229</f>
        <v>68</v>
      </c>
      <c r="F222" s="6">
        <f>F223+F224+F225+F226+F227+F229</f>
        <v>0</v>
      </c>
      <c r="G222" s="6" t="s">
        <v>47</v>
      </c>
      <c r="H222" s="6">
        <f>H223+H224+H225+H226+H227+H229</f>
        <v>0</v>
      </c>
    </row>
    <row r="223" spans="1:8" ht="60" x14ac:dyDescent="0.25">
      <c r="A223" s="51"/>
      <c r="B223" s="62"/>
      <c r="C223" s="7" t="s">
        <v>256</v>
      </c>
      <c r="D223" s="5" t="s">
        <v>144</v>
      </c>
      <c r="E223" s="6">
        <f>0</f>
        <v>0</v>
      </c>
      <c r="F223" s="6">
        <f>0</f>
        <v>0</v>
      </c>
      <c r="G223" s="6" t="s">
        <v>10</v>
      </c>
      <c r="H223" s="6">
        <f>0</f>
        <v>0</v>
      </c>
    </row>
    <row r="224" spans="1:8" ht="60" x14ac:dyDescent="0.25">
      <c r="A224" s="51"/>
      <c r="B224" s="62"/>
      <c r="C224" s="7" t="s">
        <v>257</v>
      </c>
      <c r="D224" s="5" t="s">
        <v>145</v>
      </c>
      <c r="E224" s="6">
        <f>0</f>
        <v>0</v>
      </c>
      <c r="F224" s="6">
        <f>0</f>
        <v>0</v>
      </c>
      <c r="G224" s="6" t="s">
        <v>10</v>
      </c>
      <c r="H224" s="6">
        <f>0</f>
        <v>0</v>
      </c>
    </row>
    <row r="225" spans="1:8" ht="24" x14ac:dyDescent="0.25">
      <c r="A225" s="51"/>
      <c r="B225" s="62"/>
      <c r="C225" s="7" t="s">
        <v>294</v>
      </c>
      <c r="D225" s="5" t="s">
        <v>243</v>
      </c>
      <c r="E225" s="6">
        <f>0</f>
        <v>0</v>
      </c>
      <c r="F225" s="6">
        <f>0</f>
        <v>0</v>
      </c>
      <c r="G225" s="6" t="s">
        <v>10</v>
      </c>
      <c r="H225" s="6">
        <f>0</f>
        <v>0</v>
      </c>
    </row>
    <row r="226" spans="1:8" ht="16.5" customHeight="1" x14ac:dyDescent="0.25">
      <c r="A226" s="51"/>
      <c r="B226" s="62"/>
      <c r="C226" s="7" t="s">
        <v>287</v>
      </c>
      <c r="D226" s="5" t="s">
        <v>146</v>
      </c>
      <c r="E226" s="6">
        <f>56</f>
        <v>56</v>
      </c>
      <c r="F226" s="6">
        <f>0</f>
        <v>0</v>
      </c>
      <c r="G226" s="6" t="s">
        <v>47</v>
      </c>
      <c r="H226" s="6">
        <f>0</f>
        <v>0</v>
      </c>
    </row>
    <row r="227" spans="1:8" ht="36" x14ac:dyDescent="0.25">
      <c r="A227" s="51"/>
      <c r="B227" s="62"/>
      <c r="C227" s="7" t="s">
        <v>288</v>
      </c>
      <c r="D227" s="5" t="s">
        <v>361</v>
      </c>
      <c r="E227" s="6">
        <f>E228</f>
        <v>12</v>
      </c>
      <c r="F227" s="6">
        <f>F228</f>
        <v>0</v>
      </c>
      <c r="G227" s="6" t="s">
        <v>47</v>
      </c>
      <c r="H227" s="6">
        <f>H228</f>
        <v>0</v>
      </c>
    </row>
    <row r="228" spans="1:8" ht="24" x14ac:dyDescent="0.25">
      <c r="A228" s="51"/>
      <c r="B228" s="62"/>
      <c r="C228" s="7" t="s">
        <v>794</v>
      </c>
      <c r="D228" s="5" t="s">
        <v>795</v>
      </c>
      <c r="E228" s="6">
        <f>12</f>
        <v>12</v>
      </c>
      <c r="F228" s="6">
        <f>0</f>
        <v>0</v>
      </c>
      <c r="G228" s="6" t="s">
        <v>47</v>
      </c>
      <c r="H228" s="6">
        <f>0</f>
        <v>0</v>
      </c>
    </row>
    <row r="229" spans="1:8" ht="24" x14ac:dyDescent="0.25">
      <c r="A229" s="51"/>
      <c r="B229" s="62"/>
      <c r="C229" s="7" t="s">
        <v>291</v>
      </c>
      <c r="D229" s="5" t="s">
        <v>207</v>
      </c>
      <c r="E229" s="6">
        <f>0</f>
        <v>0</v>
      </c>
      <c r="F229" s="6">
        <f>0</f>
        <v>0</v>
      </c>
      <c r="G229" s="6" t="s">
        <v>10</v>
      </c>
      <c r="H229" s="6">
        <f>0</f>
        <v>0</v>
      </c>
    </row>
    <row r="230" spans="1:8" ht="22.5" customHeight="1" x14ac:dyDescent="0.25">
      <c r="A230" s="51"/>
      <c r="B230" s="62"/>
      <c r="C230" s="5" t="s">
        <v>90</v>
      </c>
      <c r="D230" s="5" t="s">
        <v>147</v>
      </c>
      <c r="E230" s="6">
        <f>E231+E232</f>
        <v>12339.27</v>
      </c>
      <c r="F230" s="6">
        <f>F231+F232</f>
        <v>9972.6200000000008</v>
      </c>
      <c r="G230" s="6" t="s">
        <v>796</v>
      </c>
      <c r="H230" s="6">
        <f>H231+H232</f>
        <v>9972.6200000000008</v>
      </c>
    </row>
    <row r="231" spans="1:8" x14ac:dyDescent="0.25">
      <c r="A231" s="51"/>
      <c r="B231" s="62"/>
      <c r="C231" s="7" t="s">
        <v>325</v>
      </c>
      <c r="D231" s="5" t="s">
        <v>148</v>
      </c>
      <c r="E231" s="6">
        <f>12339.27</f>
        <v>12339.27</v>
      </c>
      <c r="F231" s="6">
        <f>9972.62</f>
        <v>9972.6200000000008</v>
      </c>
      <c r="G231" s="6" t="s">
        <v>796</v>
      </c>
      <c r="H231" s="6">
        <f>9972.62</f>
        <v>9972.6200000000008</v>
      </c>
    </row>
    <row r="232" spans="1:8" ht="24" x14ac:dyDescent="0.25">
      <c r="A232" s="51"/>
      <c r="B232" s="62"/>
      <c r="C232" s="7" t="s">
        <v>326</v>
      </c>
      <c r="D232" s="5" t="s">
        <v>362</v>
      </c>
      <c r="E232" s="6">
        <f>0</f>
        <v>0</v>
      </c>
      <c r="F232" s="6">
        <f>0</f>
        <v>0</v>
      </c>
      <c r="G232" s="6" t="s">
        <v>10</v>
      </c>
      <c r="H232" s="6">
        <f>0</f>
        <v>0</v>
      </c>
    </row>
    <row r="233" spans="1:8" ht="48" x14ac:dyDescent="0.25">
      <c r="A233" s="51"/>
      <c r="B233" s="62"/>
      <c r="C233" s="5" t="s">
        <v>30</v>
      </c>
      <c r="D233" s="5" t="s">
        <v>149</v>
      </c>
      <c r="E233" s="6">
        <f>E234+E235+E236</f>
        <v>530</v>
      </c>
      <c r="F233" s="6">
        <f>F234+F235+F236</f>
        <v>291</v>
      </c>
      <c r="G233" s="6" t="s">
        <v>797</v>
      </c>
      <c r="H233" s="6">
        <f>H234+H235+H236</f>
        <v>291</v>
      </c>
    </row>
    <row r="234" spans="1:8" ht="36" x14ac:dyDescent="0.25">
      <c r="A234" s="51"/>
      <c r="B234" s="62"/>
      <c r="C234" s="7" t="s">
        <v>268</v>
      </c>
      <c r="D234" s="5" t="s">
        <v>150</v>
      </c>
      <c r="E234" s="6">
        <f>235</f>
        <v>235</v>
      </c>
      <c r="F234" s="6">
        <f>136</f>
        <v>136</v>
      </c>
      <c r="G234" s="6" t="s">
        <v>798</v>
      </c>
      <c r="H234" s="6">
        <f>136</f>
        <v>136</v>
      </c>
    </row>
    <row r="235" spans="1:8" ht="24" x14ac:dyDescent="0.25">
      <c r="A235" s="51"/>
      <c r="B235" s="62"/>
      <c r="C235" s="7" t="s">
        <v>269</v>
      </c>
      <c r="D235" s="5" t="s">
        <v>208</v>
      </c>
      <c r="E235" s="6">
        <f>260.5</f>
        <v>260.5</v>
      </c>
      <c r="F235" s="6">
        <f>155</f>
        <v>155</v>
      </c>
      <c r="G235" s="6" t="s">
        <v>434</v>
      </c>
      <c r="H235" s="6">
        <f>155</f>
        <v>155</v>
      </c>
    </row>
    <row r="236" spans="1:8" ht="72.75" customHeight="1" x14ac:dyDescent="0.25">
      <c r="A236" s="51"/>
      <c r="B236" s="62"/>
      <c r="C236" s="7" t="s">
        <v>327</v>
      </c>
      <c r="D236" s="5" t="s">
        <v>151</v>
      </c>
      <c r="E236" s="6">
        <f>34.5</f>
        <v>34.5</v>
      </c>
      <c r="F236" s="6">
        <f>0</f>
        <v>0</v>
      </c>
      <c r="G236" s="6" t="s">
        <v>47</v>
      </c>
      <c r="H236" s="6">
        <f>0</f>
        <v>0</v>
      </c>
    </row>
    <row r="237" spans="1:8" ht="39.75" customHeight="1" x14ac:dyDescent="0.25">
      <c r="A237" s="51"/>
      <c r="B237" s="62"/>
      <c r="C237" s="5" t="s">
        <v>91</v>
      </c>
      <c r="D237" s="5" t="s">
        <v>152</v>
      </c>
      <c r="E237" s="6">
        <f>0</f>
        <v>0</v>
      </c>
      <c r="F237" s="6">
        <f>0</f>
        <v>0</v>
      </c>
      <c r="G237" s="6" t="s">
        <v>10</v>
      </c>
      <c r="H237" s="6">
        <f>0</f>
        <v>0</v>
      </c>
    </row>
    <row r="238" spans="1:8" x14ac:dyDescent="0.25">
      <c r="A238" s="51"/>
      <c r="B238" s="62"/>
      <c r="C238" s="5" t="s">
        <v>175</v>
      </c>
      <c r="D238" s="5" t="s">
        <v>363</v>
      </c>
      <c r="E238" s="6">
        <f>E239</f>
        <v>908</v>
      </c>
      <c r="F238" s="6">
        <f>F239</f>
        <v>518.33000000000004</v>
      </c>
      <c r="G238" s="6" t="s">
        <v>799</v>
      </c>
      <c r="H238" s="6">
        <f>H239</f>
        <v>518.33000000000004</v>
      </c>
    </row>
    <row r="239" spans="1:8" ht="24" x14ac:dyDescent="0.25">
      <c r="A239" s="51"/>
      <c r="B239" s="62"/>
      <c r="C239" s="7" t="s">
        <v>800</v>
      </c>
      <c r="D239" s="5" t="s">
        <v>801</v>
      </c>
      <c r="E239" s="6">
        <f>908</f>
        <v>908</v>
      </c>
      <c r="F239" s="6">
        <f>518.33</f>
        <v>518.33000000000004</v>
      </c>
      <c r="G239" s="6" t="s">
        <v>799</v>
      </c>
      <c r="H239" s="6">
        <f>518.33</f>
        <v>518.33000000000004</v>
      </c>
    </row>
    <row r="240" spans="1:8" ht="24" x14ac:dyDescent="0.25">
      <c r="A240" s="51"/>
      <c r="B240" s="62"/>
      <c r="C240" s="3" t="s">
        <v>20</v>
      </c>
      <c r="D240" s="3" t="s">
        <v>209</v>
      </c>
      <c r="E240" s="4">
        <f>E241+E258+E262</f>
        <v>7547.65</v>
      </c>
      <c r="F240" s="4">
        <f>F241+F258+F262</f>
        <v>872.07999999999993</v>
      </c>
      <c r="G240" s="4" t="s">
        <v>802</v>
      </c>
      <c r="H240" s="4">
        <f>H241+H258+H262</f>
        <v>872.07999999999993</v>
      </c>
    </row>
    <row r="241" spans="1:8" ht="24" x14ac:dyDescent="0.25">
      <c r="A241" s="51"/>
      <c r="B241" s="62"/>
      <c r="C241" s="5" t="s">
        <v>21</v>
      </c>
      <c r="D241" s="5" t="s">
        <v>364</v>
      </c>
      <c r="E241" s="6">
        <f>E242+E243+E244+E245+E246+E248+E249+E250+E251+E255</f>
        <v>7477.65</v>
      </c>
      <c r="F241" s="6">
        <f>F242+F243+F244+F245+F246+F248+F249+F250+F251+F255</f>
        <v>802.07999999999993</v>
      </c>
      <c r="G241" s="6" t="s">
        <v>640</v>
      </c>
      <c r="H241" s="6">
        <f>H242+H243+H244+H245+H246+H248+H249+H250+H251+H255</f>
        <v>802.07999999999993</v>
      </c>
    </row>
    <row r="242" spans="1:8" ht="36" x14ac:dyDescent="0.25">
      <c r="A242" s="51"/>
      <c r="B242" s="62"/>
      <c r="C242" s="7" t="s">
        <v>258</v>
      </c>
      <c r="D242" s="5" t="s">
        <v>244</v>
      </c>
      <c r="E242" s="6">
        <f>0</f>
        <v>0</v>
      </c>
      <c r="F242" s="6">
        <f>0</f>
        <v>0</v>
      </c>
      <c r="G242" s="6" t="s">
        <v>10</v>
      </c>
      <c r="H242" s="6">
        <f>0</f>
        <v>0</v>
      </c>
    </row>
    <row r="243" spans="1:8" ht="17.25" customHeight="1" x14ac:dyDescent="0.25">
      <c r="A243" s="51"/>
      <c r="B243" s="62"/>
      <c r="C243" s="7" t="s">
        <v>262</v>
      </c>
      <c r="D243" s="5" t="s">
        <v>153</v>
      </c>
      <c r="E243" s="6">
        <f>0</f>
        <v>0</v>
      </c>
      <c r="F243" s="6">
        <f>0</f>
        <v>0</v>
      </c>
      <c r="G243" s="6" t="s">
        <v>10</v>
      </c>
      <c r="H243" s="6">
        <f>0</f>
        <v>0</v>
      </c>
    </row>
    <row r="244" spans="1:8" ht="24" x14ac:dyDescent="0.25">
      <c r="A244" s="51"/>
      <c r="B244" s="62"/>
      <c r="C244" s="7" t="s">
        <v>271</v>
      </c>
      <c r="D244" s="5" t="s">
        <v>154</v>
      </c>
      <c r="E244" s="6">
        <f>0</f>
        <v>0</v>
      </c>
      <c r="F244" s="6">
        <f>0</f>
        <v>0</v>
      </c>
      <c r="G244" s="6" t="s">
        <v>10</v>
      </c>
      <c r="H244" s="6">
        <f>0</f>
        <v>0</v>
      </c>
    </row>
    <row r="245" spans="1:8" ht="24" x14ac:dyDescent="0.25">
      <c r="A245" s="51"/>
      <c r="B245" s="62"/>
      <c r="C245" s="7" t="s">
        <v>266</v>
      </c>
      <c r="D245" s="5" t="s">
        <v>245</v>
      </c>
      <c r="E245" s="6">
        <f>0</f>
        <v>0</v>
      </c>
      <c r="F245" s="6">
        <f>0</f>
        <v>0</v>
      </c>
      <c r="G245" s="6" t="s">
        <v>10</v>
      </c>
      <c r="H245" s="6">
        <f>0</f>
        <v>0</v>
      </c>
    </row>
    <row r="246" spans="1:8" ht="24" x14ac:dyDescent="0.25">
      <c r="A246" s="51"/>
      <c r="B246" s="62"/>
      <c r="C246" s="7" t="s">
        <v>267</v>
      </c>
      <c r="D246" s="5" t="s">
        <v>382</v>
      </c>
      <c r="E246" s="6">
        <f>E247</f>
        <v>300</v>
      </c>
      <c r="F246" s="6">
        <f>F247</f>
        <v>300</v>
      </c>
      <c r="G246" s="6" t="s">
        <v>282</v>
      </c>
      <c r="H246" s="6">
        <f>H247</f>
        <v>300</v>
      </c>
    </row>
    <row r="247" spans="1:8" ht="24" x14ac:dyDescent="0.25">
      <c r="A247" s="51"/>
      <c r="B247" s="62"/>
      <c r="C247" s="7" t="s">
        <v>328</v>
      </c>
      <c r="D247" s="5" t="s">
        <v>803</v>
      </c>
      <c r="E247" s="6">
        <f>300</f>
        <v>300</v>
      </c>
      <c r="F247" s="6">
        <f>300</f>
        <v>300</v>
      </c>
      <c r="G247" s="6" t="s">
        <v>282</v>
      </c>
      <c r="H247" s="6">
        <f>300</f>
        <v>300</v>
      </c>
    </row>
    <row r="248" spans="1:8" ht="24" x14ac:dyDescent="0.25">
      <c r="A248" s="51"/>
      <c r="B248" s="62"/>
      <c r="C248" s="7" t="s">
        <v>283</v>
      </c>
      <c r="D248" s="5" t="s">
        <v>365</v>
      </c>
      <c r="E248" s="6">
        <f>6500</f>
        <v>6500</v>
      </c>
      <c r="F248" s="6">
        <f>0</f>
        <v>0</v>
      </c>
      <c r="G248" s="6" t="s">
        <v>47</v>
      </c>
      <c r="H248" s="6">
        <f>0</f>
        <v>0</v>
      </c>
    </row>
    <row r="249" spans="1:8" ht="24" customHeight="1" x14ac:dyDescent="0.25">
      <c r="A249" s="51"/>
      <c r="B249" s="62"/>
      <c r="C249" s="7" t="s">
        <v>284</v>
      </c>
      <c r="D249" s="5" t="s">
        <v>155</v>
      </c>
      <c r="E249" s="6">
        <f>0</f>
        <v>0</v>
      </c>
      <c r="F249" s="6">
        <f>0</f>
        <v>0</v>
      </c>
      <c r="G249" s="6" t="s">
        <v>10</v>
      </c>
      <c r="H249" s="6">
        <f>0</f>
        <v>0</v>
      </c>
    </row>
    <row r="250" spans="1:8" ht="24" x14ac:dyDescent="0.25">
      <c r="A250" s="51"/>
      <c r="B250" s="62"/>
      <c r="C250" s="7" t="s">
        <v>285</v>
      </c>
      <c r="D250" s="5" t="s">
        <v>366</v>
      </c>
      <c r="E250" s="6">
        <f>0</f>
        <v>0</v>
      </c>
      <c r="F250" s="6">
        <f>0</f>
        <v>0</v>
      </c>
      <c r="G250" s="6" t="s">
        <v>10</v>
      </c>
      <c r="H250" s="6">
        <f>0</f>
        <v>0</v>
      </c>
    </row>
    <row r="251" spans="1:8" ht="24" x14ac:dyDescent="0.25">
      <c r="A251" s="51"/>
      <c r="B251" s="62"/>
      <c r="C251" s="7" t="s">
        <v>286</v>
      </c>
      <c r="D251" s="5" t="s">
        <v>383</v>
      </c>
      <c r="E251" s="6">
        <f>E252+E253+E254</f>
        <v>120</v>
      </c>
      <c r="F251" s="6">
        <f>F252+F253+F254</f>
        <v>0</v>
      </c>
      <c r="G251" s="6" t="s">
        <v>47</v>
      </c>
      <c r="H251" s="6">
        <f>H252+H253+H254</f>
        <v>0</v>
      </c>
    </row>
    <row r="252" spans="1:8" x14ac:dyDescent="0.25">
      <c r="A252" s="51"/>
      <c r="B252" s="62"/>
      <c r="C252" s="7" t="s">
        <v>329</v>
      </c>
      <c r="D252" s="5" t="s">
        <v>212</v>
      </c>
      <c r="E252" s="6">
        <f>120</f>
        <v>120</v>
      </c>
      <c r="F252" s="6">
        <f>0</f>
        <v>0</v>
      </c>
      <c r="G252" s="6" t="s">
        <v>47</v>
      </c>
      <c r="H252" s="6">
        <f>0</f>
        <v>0</v>
      </c>
    </row>
    <row r="253" spans="1:8" ht="18" customHeight="1" x14ac:dyDescent="0.25">
      <c r="A253" s="51"/>
      <c r="B253" s="62"/>
      <c r="C253" s="7" t="s">
        <v>330</v>
      </c>
      <c r="D253" s="5" t="s">
        <v>213</v>
      </c>
      <c r="E253" s="6">
        <f>0</f>
        <v>0</v>
      </c>
      <c r="F253" s="6">
        <f>0</f>
        <v>0</v>
      </c>
      <c r="G253" s="6" t="s">
        <v>10</v>
      </c>
      <c r="H253" s="6">
        <f>0</f>
        <v>0</v>
      </c>
    </row>
    <row r="254" spans="1:8" x14ac:dyDescent="0.25">
      <c r="A254" s="51"/>
      <c r="B254" s="62"/>
      <c r="C254" s="7" t="s">
        <v>331</v>
      </c>
      <c r="D254" s="5" t="s">
        <v>214</v>
      </c>
      <c r="E254" s="6">
        <f>0</f>
        <v>0</v>
      </c>
      <c r="F254" s="6">
        <f>0</f>
        <v>0</v>
      </c>
      <c r="G254" s="6" t="s">
        <v>10</v>
      </c>
      <c r="H254" s="6">
        <f>0</f>
        <v>0</v>
      </c>
    </row>
    <row r="255" spans="1:8" ht="24" x14ac:dyDescent="0.25">
      <c r="A255" s="51"/>
      <c r="B255" s="62"/>
      <c r="C255" s="7" t="s">
        <v>332</v>
      </c>
      <c r="D255" s="5" t="s">
        <v>157</v>
      </c>
      <c r="E255" s="6">
        <f>E256+E257</f>
        <v>557.65</v>
      </c>
      <c r="F255" s="6">
        <f>F256+F257</f>
        <v>502.08</v>
      </c>
      <c r="G255" s="6" t="s">
        <v>804</v>
      </c>
      <c r="H255" s="6">
        <f>H256+H257</f>
        <v>502.08</v>
      </c>
    </row>
    <row r="256" spans="1:8" x14ac:dyDescent="0.25">
      <c r="A256" s="51"/>
      <c r="B256" s="62"/>
      <c r="C256" s="7" t="s">
        <v>333</v>
      </c>
      <c r="D256" s="5" t="s">
        <v>210</v>
      </c>
      <c r="E256" s="6">
        <f>512.75</f>
        <v>512.75</v>
      </c>
      <c r="F256" s="6">
        <f>472.08</f>
        <v>472.08</v>
      </c>
      <c r="G256" s="6" t="s">
        <v>805</v>
      </c>
      <c r="H256" s="6">
        <f>472.08</f>
        <v>472.08</v>
      </c>
    </row>
    <row r="257" spans="1:8" ht="24" x14ac:dyDescent="0.25">
      <c r="A257" s="51"/>
      <c r="B257" s="62"/>
      <c r="C257" s="7" t="s">
        <v>334</v>
      </c>
      <c r="D257" s="5" t="s">
        <v>211</v>
      </c>
      <c r="E257" s="6">
        <f>44.9</f>
        <v>44.9</v>
      </c>
      <c r="F257" s="6">
        <f>30</f>
        <v>30</v>
      </c>
      <c r="G257" s="6" t="s">
        <v>435</v>
      </c>
      <c r="H257" s="6">
        <f>30</f>
        <v>30</v>
      </c>
    </row>
    <row r="258" spans="1:8" ht="24" x14ac:dyDescent="0.25">
      <c r="A258" s="51"/>
      <c r="B258" s="62"/>
      <c r="C258" s="5" t="s">
        <v>36</v>
      </c>
      <c r="D258" s="5" t="s">
        <v>215</v>
      </c>
      <c r="E258" s="6">
        <f>E259+E261</f>
        <v>70</v>
      </c>
      <c r="F258" s="6">
        <f>F259+F261</f>
        <v>70</v>
      </c>
      <c r="G258" s="6" t="s">
        <v>282</v>
      </c>
      <c r="H258" s="6">
        <f>H259+H261</f>
        <v>70</v>
      </c>
    </row>
    <row r="259" spans="1:8" ht="24" x14ac:dyDescent="0.25">
      <c r="A259" s="51"/>
      <c r="B259" s="62"/>
      <c r="C259" s="7" t="s">
        <v>272</v>
      </c>
      <c r="D259" s="5" t="s">
        <v>367</v>
      </c>
      <c r="E259" s="6">
        <f>E260</f>
        <v>70</v>
      </c>
      <c r="F259" s="6">
        <f>F260</f>
        <v>70</v>
      </c>
      <c r="G259" s="6" t="s">
        <v>282</v>
      </c>
      <c r="H259" s="6">
        <f>H260</f>
        <v>70</v>
      </c>
    </row>
    <row r="260" spans="1:8" ht="16.5" customHeight="1" x14ac:dyDescent="0.25">
      <c r="A260" s="51"/>
      <c r="B260" s="62"/>
      <c r="C260" s="7" t="s">
        <v>711</v>
      </c>
      <c r="D260" s="5" t="s">
        <v>806</v>
      </c>
      <c r="E260" s="6">
        <f>70</f>
        <v>70</v>
      </c>
      <c r="F260" s="6">
        <f>70</f>
        <v>70</v>
      </c>
      <c r="G260" s="6" t="s">
        <v>282</v>
      </c>
      <c r="H260" s="6">
        <f>70</f>
        <v>70</v>
      </c>
    </row>
    <row r="261" spans="1:8" ht="36" x14ac:dyDescent="0.25">
      <c r="A261" s="51"/>
      <c r="B261" s="62"/>
      <c r="C261" s="7" t="s">
        <v>273</v>
      </c>
      <c r="D261" s="5" t="s">
        <v>384</v>
      </c>
      <c r="E261" s="6">
        <f>0</f>
        <v>0</v>
      </c>
      <c r="F261" s="6">
        <f>0</f>
        <v>0</v>
      </c>
      <c r="G261" s="6" t="s">
        <v>10</v>
      </c>
      <c r="H261" s="6">
        <f>0</f>
        <v>0</v>
      </c>
    </row>
    <row r="262" spans="1:8" ht="18" customHeight="1" x14ac:dyDescent="0.25">
      <c r="A262" s="51"/>
      <c r="B262" s="62"/>
      <c r="C262" s="5" t="s">
        <v>11</v>
      </c>
      <c r="D262" s="5" t="s">
        <v>158</v>
      </c>
      <c r="E262" s="6">
        <f>0</f>
        <v>0</v>
      </c>
      <c r="F262" s="6">
        <f>0</f>
        <v>0</v>
      </c>
      <c r="G262" s="6" t="s">
        <v>10</v>
      </c>
      <c r="H262" s="6">
        <f>0</f>
        <v>0</v>
      </c>
    </row>
    <row r="263" spans="1:8" ht="22.5" customHeight="1" x14ac:dyDescent="0.25">
      <c r="A263" s="51"/>
      <c r="B263" s="62"/>
      <c r="C263" s="3" t="s">
        <v>25</v>
      </c>
      <c r="D263" s="3" t="s">
        <v>216</v>
      </c>
      <c r="E263" s="4">
        <f>E264</f>
        <v>1744.05</v>
      </c>
      <c r="F263" s="4">
        <f>F264</f>
        <v>1185.9000000000001</v>
      </c>
      <c r="G263" s="4" t="s">
        <v>721</v>
      </c>
      <c r="H263" s="4">
        <f>H264</f>
        <v>1185.9000000000001</v>
      </c>
    </row>
    <row r="264" spans="1:8" ht="35.25" customHeight="1" x14ac:dyDescent="0.25">
      <c r="A264" s="51"/>
      <c r="B264" s="62"/>
      <c r="C264" s="5" t="s">
        <v>21</v>
      </c>
      <c r="D264" s="5" t="s">
        <v>217</v>
      </c>
      <c r="E264" s="6">
        <f>E265</f>
        <v>1744.05</v>
      </c>
      <c r="F264" s="6">
        <f>F265</f>
        <v>1185.9000000000001</v>
      </c>
      <c r="G264" s="6" t="s">
        <v>721</v>
      </c>
      <c r="H264" s="6">
        <f>H265</f>
        <v>1185.9000000000001</v>
      </c>
    </row>
    <row r="265" spans="1:8" ht="35.25" customHeight="1" x14ac:dyDescent="0.25">
      <c r="A265" s="51"/>
      <c r="B265" s="62"/>
      <c r="C265" s="7" t="s">
        <v>258</v>
      </c>
      <c r="D265" s="5" t="s">
        <v>368</v>
      </c>
      <c r="E265" s="6">
        <f>E266+E267+E268</f>
        <v>1744.05</v>
      </c>
      <c r="F265" s="6">
        <f>F266+F267+F268</f>
        <v>1185.9000000000001</v>
      </c>
      <c r="G265" s="6" t="s">
        <v>721</v>
      </c>
      <c r="H265" s="6">
        <f>H266+H267+H268</f>
        <v>1185.9000000000001</v>
      </c>
    </row>
    <row r="266" spans="1:8" ht="15.75" customHeight="1" x14ac:dyDescent="0.25">
      <c r="A266" s="51"/>
      <c r="B266" s="62"/>
      <c r="C266" s="7" t="s">
        <v>259</v>
      </c>
      <c r="D266" s="5" t="s">
        <v>218</v>
      </c>
      <c r="E266" s="6">
        <f>1250.37</f>
        <v>1250.3699999999999</v>
      </c>
      <c r="F266" s="6">
        <f>791</f>
        <v>791</v>
      </c>
      <c r="G266" s="6" t="s">
        <v>807</v>
      </c>
      <c r="H266" s="6">
        <f>791</f>
        <v>791</v>
      </c>
    </row>
    <row r="267" spans="1:8" ht="24" x14ac:dyDescent="0.25">
      <c r="A267" s="51"/>
      <c r="B267" s="62"/>
      <c r="C267" s="7" t="s">
        <v>260</v>
      </c>
      <c r="D267" s="5" t="s">
        <v>219</v>
      </c>
      <c r="E267" s="6">
        <f>493.68</f>
        <v>493.68</v>
      </c>
      <c r="F267" s="6">
        <f>394.9</f>
        <v>394.9</v>
      </c>
      <c r="G267" s="6" t="s">
        <v>808</v>
      </c>
      <c r="H267" s="6">
        <f>394.9</f>
        <v>394.9</v>
      </c>
    </row>
    <row r="268" spans="1:8" ht="24" x14ac:dyDescent="0.25">
      <c r="A268" s="51"/>
      <c r="B268" s="62"/>
      <c r="C268" s="7" t="s">
        <v>261</v>
      </c>
      <c r="D268" s="5" t="s">
        <v>220</v>
      </c>
      <c r="E268" s="6">
        <f>0</f>
        <v>0</v>
      </c>
      <c r="F268" s="6">
        <f>0</f>
        <v>0</v>
      </c>
      <c r="G268" s="6" t="s">
        <v>10</v>
      </c>
      <c r="H268" s="6">
        <f>0</f>
        <v>0</v>
      </c>
    </row>
    <row r="269" spans="1:8" ht="18.75" customHeight="1" x14ac:dyDescent="0.25">
      <c r="A269" s="51"/>
      <c r="B269" s="62"/>
      <c r="C269" s="3" t="s">
        <v>29</v>
      </c>
      <c r="D269" s="3" t="s">
        <v>221</v>
      </c>
      <c r="E269" s="4">
        <f>E270</f>
        <v>17566.37</v>
      </c>
      <c r="F269" s="4">
        <f>F270</f>
        <v>7623.0300000000007</v>
      </c>
      <c r="G269" s="4" t="s">
        <v>431</v>
      </c>
      <c r="H269" s="4">
        <f>H270</f>
        <v>7623.0300000000007</v>
      </c>
    </row>
    <row r="270" spans="1:8" x14ac:dyDescent="0.25">
      <c r="A270" s="51"/>
      <c r="B270" s="62"/>
      <c r="C270" s="5" t="s">
        <v>21</v>
      </c>
      <c r="D270" s="5" t="s">
        <v>159</v>
      </c>
      <c r="E270" s="6">
        <f>E271+E272+E274+E275+E276+E288+E289+E290+E292+E293</f>
        <v>17566.37</v>
      </c>
      <c r="F270" s="6">
        <f>F271+F272+F274+F275+F276+F288+F289+F290+F292+F293</f>
        <v>7623.0300000000007</v>
      </c>
      <c r="G270" s="6" t="s">
        <v>431</v>
      </c>
      <c r="H270" s="6">
        <f>H271+H272+H274+H275+H276+H288+H289+H290+H292+H293</f>
        <v>7623.0300000000007</v>
      </c>
    </row>
    <row r="271" spans="1:8" ht="23.25" customHeight="1" x14ac:dyDescent="0.25">
      <c r="A271" s="51"/>
      <c r="B271" s="62"/>
      <c r="C271" s="7" t="s">
        <v>258</v>
      </c>
      <c r="D271" s="5" t="s">
        <v>160</v>
      </c>
      <c r="E271" s="6">
        <f>0</f>
        <v>0</v>
      </c>
      <c r="F271" s="6">
        <f>0</f>
        <v>0</v>
      </c>
      <c r="G271" s="6" t="s">
        <v>10</v>
      </c>
      <c r="H271" s="6">
        <f>0</f>
        <v>0</v>
      </c>
    </row>
    <row r="272" spans="1:8" ht="15.75" customHeight="1" x14ac:dyDescent="0.25">
      <c r="A272" s="51"/>
      <c r="B272" s="62"/>
      <c r="C272" s="7" t="s">
        <v>262</v>
      </c>
      <c r="D272" s="5" t="s">
        <v>161</v>
      </c>
      <c r="E272" s="6">
        <f>E273</f>
        <v>58.42</v>
      </c>
      <c r="F272" s="6">
        <f>F273</f>
        <v>17.600000000000001</v>
      </c>
      <c r="G272" s="6" t="s">
        <v>809</v>
      </c>
      <c r="H272" s="6">
        <f>H273</f>
        <v>17.600000000000001</v>
      </c>
    </row>
    <row r="273" spans="1:8" ht="16.5" customHeight="1" x14ac:dyDescent="0.25">
      <c r="A273" s="51"/>
      <c r="B273" s="62"/>
      <c r="C273" s="7" t="s">
        <v>263</v>
      </c>
      <c r="D273" s="5" t="s">
        <v>810</v>
      </c>
      <c r="E273" s="6">
        <f>58.42</f>
        <v>58.42</v>
      </c>
      <c r="F273" s="6">
        <f>17.6</f>
        <v>17.600000000000001</v>
      </c>
      <c r="G273" s="6" t="s">
        <v>809</v>
      </c>
      <c r="H273" s="6">
        <f>17.6</f>
        <v>17.600000000000001</v>
      </c>
    </row>
    <row r="274" spans="1:8" x14ac:dyDescent="0.25">
      <c r="A274" s="51"/>
      <c r="B274" s="62"/>
      <c r="C274" s="7" t="s">
        <v>271</v>
      </c>
      <c r="D274" s="5" t="s">
        <v>385</v>
      </c>
      <c r="E274" s="6">
        <f>0</f>
        <v>0</v>
      </c>
      <c r="F274" s="6">
        <f>0</f>
        <v>0</v>
      </c>
      <c r="G274" s="6" t="s">
        <v>10</v>
      </c>
      <c r="H274" s="6">
        <f>0</f>
        <v>0</v>
      </c>
    </row>
    <row r="275" spans="1:8" ht="24" x14ac:dyDescent="0.25">
      <c r="A275" s="51"/>
      <c r="B275" s="62"/>
      <c r="C275" s="7" t="s">
        <v>266</v>
      </c>
      <c r="D275" s="5" t="s">
        <v>162</v>
      </c>
      <c r="E275" s="6">
        <f>0</f>
        <v>0</v>
      </c>
      <c r="F275" s="6">
        <f>0</f>
        <v>0</v>
      </c>
      <c r="G275" s="6" t="s">
        <v>10</v>
      </c>
      <c r="H275" s="6">
        <f>0</f>
        <v>0</v>
      </c>
    </row>
    <row r="276" spans="1:8" ht="24.75" customHeight="1" x14ac:dyDescent="0.25">
      <c r="A276" s="51"/>
      <c r="B276" s="62"/>
      <c r="C276" s="7" t="s">
        <v>267</v>
      </c>
      <c r="D276" s="5" t="s">
        <v>369</v>
      </c>
      <c r="E276" s="6">
        <f>E277+E278+E279+E280+E281+E282+E283+E284+E285+E286+E287</f>
        <v>16981.79</v>
      </c>
      <c r="F276" s="6">
        <f>F277+F278+F279+F280+F281+F282+F283+F284+F285+F286+F287</f>
        <v>7254.66</v>
      </c>
      <c r="G276" s="6" t="s">
        <v>811</v>
      </c>
      <c r="H276" s="6">
        <f>H277+H278+H279+H280+H281+H282+H283+H284+H285+H286+H287</f>
        <v>7254.66</v>
      </c>
    </row>
    <row r="277" spans="1:8" x14ac:dyDescent="0.25">
      <c r="A277" s="51"/>
      <c r="B277" s="62"/>
      <c r="C277" s="7" t="s">
        <v>328</v>
      </c>
      <c r="D277" s="5" t="s">
        <v>222</v>
      </c>
      <c r="E277" s="6">
        <f>0</f>
        <v>0</v>
      </c>
      <c r="F277" s="6">
        <f>0</f>
        <v>0</v>
      </c>
      <c r="G277" s="6" t="s">
        <v>10</v>
      </c>
      <c r="H277" s="6">
        <f>0</f>
        <v>0</v>
      </c>
    </row>
    <row r="278" spans="1:8" x14ac:dyDescent="0.25">
      <c r="A278" s="51"/>
      <c r="B278" s="62"/>
      <c r="C278" s="7" t="s">
        <v>335</v>
      </c>
      <c r="D278" s="5" t="s">
        <v>223</v>
      </c>
      <c r="E278" s="6">
        <f>127.39</f>
        <v>127.39</v>
      </c>
      <c r="F278" s="6">
        <f>84.9</f>
        <v>84.9</v>
      </c>
      <c r="G278" s="6" t="s">
        <v>812</v>
      </c>
      <c r="H278" s="6">
        <f>84.9</f>
        <v>84.9</v>
      </c>
    </row>
    <row r="279" spans="1:8" ht="16.5" customHeight="1" x14ac:dyDescent="0.25">
      <c r="A279" s="51"/>
      <c r="B279" s="62"/>
      <c r="C279" s="7" t="s">
        <v>336</v>
      </c>
      <c r="D279" s="5" t="s">
        <v>224</v>
      </c>
      <c r="E279" s="6">
        <f>0</f>
        <v>0</v>
      </c>
      <c r="F279" s="6">
        <f>0</f>
        <v>0</v>
      </c>
      <c r="G279" s="6" t="s">
        <v>10</v>
      </c>
      <c r="H279" s="6">
        <f>0</f>
        <v>0</v>
      </c>
    </row>
    <row r="280" spans="1:8" ht="22.5" customHeight="1" x14ac:dyDescent="0.25">
      <c r="A280" s="51"/>
      <c r="B280" s="62"/>
      <c r="C280" s="7" t="s">
        <v>337</v>
      </c>
      <c r="D280" s="5" t="s">
        <v>225</v>
      </c>
      <c r="E280" s="6">
        <f>205.37</f>
        <v>205.37</v>
      </c>
      <c r="F280" s="6">
        <f>154</f>
        <v>154</v>
      </c>
      <c r="G280" s="6" t="s">
        <v>466</v>
      </c>
      <c r="H280" s="6">
        <f>154</f>
        <v>154</v>
      </c>
    </row>
    <row r="281" spans="1:8" ht="16.5" customHeight="1" x14ac:dyDescent="0.25">
      <c r="A281" s="51"/>
      <c r="B281" s="62"/>
      <c r="C281" s="7" t="s">
        <v>338</v>
      </c>
      <c r="D281" s="5" t="s">
        <v>226</v>
      </c>
      <c r="E281" s="6">
        <f>3775.92</f>
        <v>3775.92</v>
      </c>
      <c r="F281" s="6">
        <f>419.33</f>
        <v>419.33</v>
      </c>
      <c r="G281" s="6" t="s">
        <v>813</v>
      </c>
      <c r="H281" s="6">
        <f>419.33</f>
        <v>419.33</v>
      </c>
    </row>
    <row r="282" spans="1:8" ht="22.5" customHeight="1" x14ac:dyDescent="0.25">
      <c r="A282" s="51"/>
      <c r="B282" s="62"/>
      <c r="C282" s="7" t="s">
        <v>339</v>
      </c>
      <c r="D282" s="5" t="s">
        <v>227</v>
      </c>
      <c r="E282" s="6">
        <f>100</f>
        <v>100</v>
      </c>
      <c r="F282" s="6">
        <f>75</f>
        <v>75</v>
      </c>
      <c r="G282" s="6" t="s">
        <v>466</v>
      </c>
      <c r="H282" s="6">
        <f>75</f>
        <v>75</v>
      </c>
    </row>
    <row r="283" spans="1:8" x14ac:dyDescent="0.25">
      <c r="A283" s="51"/>
      <c r="B283" s="62"/>
      <c r="C283" s="7" t="s">
        <v>340</v>
      </c>
      <c r="D283" s="5" t="s">
        <v>370</v>
      </c>
      <c r="E283" s="6">
        <f>17.89</f>
        <v>17.89</v>
      </c>
      <c r="F283" s="6">
        <f>17.89</f>
        <v>17.89</v>
      </c>
      <c r="G283" s="6" t="s">
        <v>282</v>
      </c>
      <c r="H283" s="6">
        <f>17.89</f>
        <v>17.89</v>
      </c>
    </row>
    <row r="284" spans="1:8" x14ac:dyDescent="0.25">
      <c r="A284" s="51"/>
      <c r="B284" s="62"/>
      <c r="C284" s="7" t="s">
        <v>341</v>
      </c>
      <c r="D284" s="5" t="s">
        <v>228</v>
      </c>
      <c r="E284" s="6">
        <f>1987</f>
        <v>1987</v>
      </c>
      <c r="F284" s="6">
        <f>1324.7</f>
        <v>1324.7</v>
      </c>
      <c r="G284" s="6" t="s">
        <v>814</v>
      </c>
      <c r="H284" s="6">
        <f>1324.7</f>
        <v>1324.7</v>
      </c>
    </row>
    <row r="285" spans="1:8" ht="16.5" customHeight="1" x14ac:dyDescent="0.25">
      <c r="A285" s="51"/>
      <c r="B285" s="62"/>
      <c r="C285" s="7" t="s">
        <v>342</v>
      </c>
      <c r="D285" s="5" t="s">
        <v>229</v>
      </c>
      <c r="E285" s="6">
        <f>687.6</f>
        <v>687.6</v>
      </c>
      <c r="F285" s="6">
        <f>458.4</f>
        <v>458.4</v>
      </c>
      <c r="G285" s="6" t="s">
        <v>814</v>
      </c>
      <c r="H285" s="6">
        <f>458.4</f>
        <v>458.4</v>
      </c>
    </row>
    <row r="286" spans="1:8" x14ac:dyDescent="0.25">
      <c r="A286" s="51"/>
      <c r="B286" s="62"/>
      <c r="C286" s="7" t="s">
        <v>343</v>
      </c>
      <c r="D286" s="5" t="s">
        <v>230</v>
      </c>
      <c r="E286" s="6">
        <f>9976.86</f>
        <v>9976.86</v>
      </c>
      <c r="F286" s="6">
        <f>4651.24</f>
        <v>4651.24</v>
      </c>
      <c r="G286" s="6" t="s">
        <v>815</v>
      </c>
      <c r="H286" s="6">
        <f>4651.24</f>
        <v>4651.24</v>
      </c>
    </row>
    <row r="287" spans="1:8" x14ac:dyDescent="0.25">
      <c r="A287" s="51"/>
      <c r="B287" s="62"/>
      <c r="C287" s="7" t="s">
        <v>371</v>
      </c>
      <c r="D287" s="5" t="s">
        <v>246</v>
      </c>
      <c r="E287" s="6">
        <f>103.76</f>
        <v>103.76</v>
      </c>
      <c r="F287" s="6">
        <f>69.2</f>
        <v>69.2</v>
      </c>
      <c r="G287" s="6" t="s">
        <v>814</v>
      </c>
      <c r="H287" s="6">
        <f>69.2</f>
        <v>69.2</v>
      </c>
    </row>
    <row r="288" spans="1:8" ht="24" x14ac:dyDescent="0.25">
      <c r="A288" s="51"/>
      <c r="B288" s="62"/>
      <c r="C288" s="7" t="s">
        <v>283</v>
      </c>
      <c r="D288" s="5" t="s">
        <v>163</v>
      </c>
      <c r="E288" s="6">
        <f>0</f>
        <v>0</v>
      </c>
      <c r="F288" s="6">
        <f>0</f>
        <v>0</v>
      </c>
      <c r="G288" s="6" t="s">
        <v>10</v>
      </c>
      <c r="H288" s="6">
        <f>0</f>
        <v>0</v>
      </c>
    </row>
    <row r="289" spans="1:8" ht="24" x14ac:dyDescent="0.25">
      <c r="A289" s="51"/>
      <c r="B289" s="62"/>
      <c r="C289" s="7" t="s">
        <v>284</v>
      </c>
      <c r="D289" s="5" t="s">
        <v>372</v>
      </c>
      <c r="E289" s="6">
        <f>0</f>
        <v>0</v>
      </c>
      <c r="F289" s="6">
        <f>0</f>
        <v>0</v>
      </c>
      <c r="G289" s="6" t="s">
        <v>10</v>
      </c>
      <c r="H289" s="6">
        <f>0</f>
        <v>0</v>
      </c>
    </row>
    <row r="290" spans="1:8" ht="16.5" customHeight="1" x14ac:dyDescent="0.25">
      <c r="A290" s="51"/>
      <c r="B290" s="62"/>
      <c r="C290" s="7" t="s">
        <v>285</v>
      </c>
      <c r="D290" s="5" t="s">
        <v>164</v>
      </c>
      <c r="E290" s="6">
        <f>E291</f>
        <v>526.16</v>
      </c>
      <c r="F290" s="6">
        <f>F291</f>
        <v>350.77</v>
      </c>
      <c r="G290" s="6" t="s">
        <v>814</v>
      </c>
      <c r="H290" s="6">
        <f>H291</f>
        <v>350.77</v>
      </c>
    </row>
    <row r="291" spans="1:8" ht="24" x14ac:dyDescent="0.25">
      <c r="A291" s="51"/>
      <c r="B291" s="62"/>
      <c r="C291" s="7" t="s">
        <v>816</v>
      </c>
      <c r="D291" s="5" t="s">
        <v>817</v>
      </c>
      <c r="E291" s="6">
        <f>526.16</f>
        <v>526.16</v>
      </c>
      <c r="F291" s="6">
        <f>350.77</f>
        <v>350.77</v>
      </c>
      <c r="G291" s="6" t="s">
        <v>814</v>
      </c>
      <c r="H291" s="6">
        <f>350.77</f>
        <v>350.77</v>
      </c>
    </row>
    <row r="292" spans="1:8" ht="36" x14ac:dyDescent="0.25">
      <c r="A292" s="51"/>
      <c r="B292" s="62"/>
      <c r="C292" s="7" t="s">
        <v>286</v>
      </c>
      <c r="D292" s="5" t="s">
        <v>247</v>
      </c>
      <c r="E292" s="6">
        <f>0</f>
        <v>0</v>
      </c>
      <c r="F292" s="6">
        <f>0</f>
        <v>0</v>
      </c>
      <c r="G292" s="6" t="s">
        <v>10</v>
      </c>
      <c r="H292" s="6">
        <f>0</f>
        <v>0</v>
      </c>
    </row>
    <row r="293" spans="1:8" ht="24.75" customHeight="1" x14ac:dyDescent="0.25">
      <c r="A293" s="51"/>
      <c r="B293" s="62"/>
      <c r="C293" s="7" t="s">
        <v>332</v>
      </c>
      <c r="D293" s="5" t="s">
        <v>373</v>
      </c>
      <c r="E293" s="6">
        <f>0</f>
        <v>0</v>
      </c>
      <c r="F293" s="6">
        <f>0</f>
        <v>0</v>
      </c>
      <c r="G293" s="6" t="s">
        <v>10</v>
      </c>
      <c r="H293" s="6">
        <f>0</f>
        <v>0</v>
      </c>
    </row>
    <row r="294" spans="1:8" ht="23.25" customHeight="1" x14ac:dyDescent="0.25">
      <c r="A294" s="51"/>
      <c r="B294" s="62"/>
      <c r="C294" s="3" t="s">
        <v>13</v>
      </c>
      <c r="D294" s="3" t="s">
        <v>231</v>
      </c>
      <c r="E294" s="4">
        <f>E295+E298</f>
        <v>1350.52</v>
      </c>
      <c r="F294" s="4">
        <f>F295+F298</f>
        <v>1269.52</v>
      </c>
      <c r="G294" s="4" t="s">
        <v>818</v>
      </c>
      <c r="H294" s="4">
        <f>H295+H298</f>
        <v>1269.52</v>
      </c>
    </row>
    <row r="295" spans="1:8" ht="24" x14ac:dyDescent="0.25">
      <c r="A295" s="51"/>
      <c r="B295" s="62"/>
      <c r="C295" s="5" t="s">
        <v>21</v>
      </c>
      <c r="D295" s="5" t="s">
        <v>165</v>
      </c>
      <c r="E295" s="6">
        <f>E296</f>
        <v>124.27</v>
      </c>
      <c r="F295" s="6">
        <f>F296</f>
        <v>43.27</v>
      </c>
      <c r="G295" s="6" t="s">
        <v>697</v>
      </c>
      <c r="H295" s="6">
        <f>H296</f>
        <v>43.27</v>
      </c>
    </row>
    <row r="296" spans="1:8" x14ac:dyDescent="0.25">
      <c r="A296" s="51"/>
      <c r="B296" s="62"/>
      <c r="C296" s="7" t="s">
        <v>258</v>
      </c>
      <c r="D296" s="5" t="s">
        <v>374</v>
      </c>
      <c r="E296" s="6">
        <f>E297</f>
        <v>124.27</v>
      </c>
      <c r="F296" s="6">
        <f>F297</f>
        <v>43.27</v>
      </c>
      <c r="G296" s="6" t="s">
        <v>697</v>
      </c>
      <c r="H296" s="6">
        <f>H297</f>
        <v>43.27</v>
      </c>
    </row>
    <row r="297" spans="1:8" ht="48" x14ac:dyDescent="0.25">
      <c r="A297" s="51"/>
      <c r="B297" s="62"/>
      <c r="C297" s="7" t="s">
        <v>259</v>
      </c>
      <c r="D297" s="5" t="s">
        <v>819</v>
      </c>
      <c r="E297" s="6">
        <f>124.27</f>
        <v>124.27</v>
      </c>
      <c r="F297" s="6">
        <f>43.27</f>
        <v>43.27</v>
      </c>
      <c r="G297" s="6" t="s">
        <v>697</v>
      </c>
      <c r="H297" s="6">
        <f>43.27</f>
        <v>43.27</v>
      </c>
    </row>
    <row r="298" spans="1:8" ht="24" x14ac:dyDescent="0.25">
      <c r="A298" s="51"/>
      <c r="B298" s="62"/>
      <c r="C298" s="5" t="s">
        <v>36</v>
      </c>
      <c r="D298" s="5" t="s">
        <v>166</v>
      </c>
      <c r="E298" s="6">
        <f>E299+E301+E302</f>
        <v>1226.25</v>
      </c>
      <c r="F298" s="6">
        <f>F299+F301+F302</f>
        <v>1226.25</v>
      </c>
      <c r="G298" s="6" t="s">
        <v>282</v>
      </c>
      <c r="H298" s="6">
        <f>H299+H301+H302</f>
        <v>1226.25</v>
      </c>
    </row>
    <row r="299" spans="1:8" ht="22.5" customHeight="1" x14ac:dyDescent="0.25">
      <c r="A299" s="51"/>
      <c r="B299" s="62"/>
      <c r="C299" s="7" t="s">
        <v>272</v>
      </c>
      <c r="D299" s="5" t="s">
        <v>167</v>
      </c>
      <c r="E299" s="6">
        <f>E300</f>
        <v>1226.25</v>
      </c>
      <c r="F299" s="6">
        <f>F300</f>
        <v>1226.25</v>
      </c>
      <c r="G299" s="6" t="s">
        <v>282</v>
      </c>
      <c r="H299" s="6">
        <f>H300</f>
        <v>1226.25</v>
      </c>
    </row>
    <row r="300" spans="1:8" ht="24" x14ac:dyDescent="0.25">
      <c r="A300" s="51"/>
      <c r="B300" s="62"/>
      <c r="C300" s="7" t="s">
        <v>711</v>
      </c>
      <c r="D300" s="5" t="s">
        <v>820</v>
      </c>
      <c r="E300" s="6">
        <f>1226.25</f>
        <v>1226.25</v>
      </c>
      <c r="F300" s="6">
        <f>1226.25</f>
        <v>1226.25</v>
      </c>
      <c r="G300" s="6" t="s">
        <v>282</v>
      </c>
      <c r="H300" s="6">
        <f>1226.25</f>
        <v>1226.25</v>
      </c>
    </row>
    <row r="301" spans="1:8" ht="24" x14ac:dyDescent="0.25">
      <c r="A301" s="51"/>
      <c r="B301" s="62"/>
      <c r="C301" s="7" t="s">
        <v>273</v>
      </c>
      <c r="D301" s="5" t="s">
        <v>168</v>
      </c>
      <c r="E301" s="6">
        <f>0</f>
        <v>0</v>
      </c>
      <c r="F301" s="6">
        <f>0</f>
        <v>0</v>
      </c>
      <c r="G301" s="6" t="s">
        <v>10</v>
      </c>
      <c r="H301" s="6">
        <f>0</f>
        <v>0</v>
      </c>
    </row>
    <row r="302" spans="1:8" ht="24" x14ac:dyDescent="0.25">
      <c r="A302" s="51"/>
      <c r="B302" s="62"/>
      <c r="C302" s="7" t="s">
        <v>274</v>
      </c>
      <c r="D302" s="5" t="s">
        <v>386</v>
      </c>
      <c r="E302" s="6">
        <f>0</f>
        <v>0</v>
      </c>
      <c r="F302" s="6">
        <f>0</f>
        <v>0</v>
      </c>
      <c r="G302" s="6" t="s">
        <v>10</v>
      </c>
      <c r="H302" s="6">
        <f>0</f>
        <v>0</v>
      </c>
    </row>
    <row r="303" spans="1:8" ht="21" customHeight="1" x14ac:dyDescent="0.25">
      <c r="A303" s="51"/>
      <c r="B303" s="62"/>
      <c r="C303" s="3" t="s">
        <v>169</v>
      </c>
      <c r="D303" s="3" t="s">
        <v>40</v>
      </c>
      <c r="E303" s="4">
        <f>E304+E309</f>
        <v>27965.52</v>
      </c>
      <c r="F303" s="4">
        <f>F304+F309</f>
        <v>19131.25</v>
      </c>
      <c r="G303" s="4" t="s">
        <v>764</v>
      </c>
      <c r="H303" s="4">
        <f>H304+H309</f>
        <v>19131.25</v>
      </c>
    </row>
    <row r="304" spans="1:8" x14ac:dyDescent="0.25">
      <c r="A304" s="51"/>
      <c r="B304" s="62"/>
      <c r="C304" s="5" t="s">
        <v>21</v>
      </c>
      <c r="D304" s="5" t="s">
        <v>41</v>
      </c>
      <c r="E304" s="6">
        <f>E305+E306+E308</f>
        <v>26393.52</v>
      </c>
      <c r="F304" s="6">
        <f>F305+F306+F308</f>
        <v>18418.810000000001</v>
      </c>
      <c r="G304" s="6" t="s">
        <v>821</v>
      </c>
      <c r="H304" s="6">
        <f>H305+H306+H308</f>
        <v>18418.810000000001</v>
      </c>
    </row>
    <row r="305" spans="1:8" x14ac:dyDescent="0.25">
      <c r="A305" s="51"/>
      <c r="B305" s="62"/>
      <c r="C305" s="7" t="s">
        <v>258</v>
      </c>
      <c r="D305" s="5" t="s">
        <v>170</v>
      </c>
      <c r="E305" s="6">
        <f>0</f>
        <v>0</v>
      </c>
      <c r="F305" s="6">
        <f>0</f>
        <v>0</v>
      </c>
      <c r="G305" s="6" t="s">
        <v>10</v>
      </c>
      <c r="H305" s="6">
        <f>0</f>
        <v>0</v>
      </c>
    </row>
    <row r="306" spans="1:8" ht="24" x14ac:dyDescent="0.25">
      <c r="A306" s="51"/>
      <c r="B306" s="62"/>
      <c r="C306" s="7" t="s">
        <v>262</v>
      </c>
      <c r="D306" s="5" t="s">
        <v>156</v>
      </c>
      <c r="E306" s="6">
        <f>E307</f>
        <v>26393.52</v>
      </c>
      <c r="F306" s="6">
        <f>F307</f>
        <v>18418.810000000001</v>
      </c>
      <c r="G306" s="6" t="s">
        <v>821</v>
      </c>
      <c r="H306" s="6">
        <f>H307</f>
        <v>18418.810000000001</v>
      </c>
    </row>
    <row r="307" spans="1:8" x14ac:dyDescent="0.25">
      <c r="A307" s="51"/>
      <c r="B307" s="62"/>
      <c r="C307" s="7" t="s">
        <v>263</v>
      </c>
      <c r="D307" s="5" t="s">
        <v>822</v>
      </c>
      <c r="E307" s="6">
        <f>26393.52</f>
        <v>26393.52</v>
      </c>
      <c r="F307" s="6">
        <f>18418.81</f>
        <v>18418.810000000001</v>
      </c>
      <c r="G307" s="6" t="s">
        <v>821</v>
      </c>
      <c r="H307" s="6">
        <f>18418.81</f>
        <v>18418.810000000001</v>
      </c>
    </row>
    <row r="308" spans="1:8" x14ac:dyDescent="0.25">
      <c r="A308" s="51"/>
      <c r="B308" s="62"/>
      <c r="C308" s="7" t="s">
        <v>271</v>
      </c>
      <c r="D308" s="5" t="s">
        <v>171</v>
      </c>
      <c r="E308" s="6">
        <f>0</f>
        <v>0</v>
      </c>
      <c r="F308" s="6">
        <f>0</f>
        <v>0</v>
      </c>
      <c r="G308" s="6" t="s">
        <v>10</v>
      </c>
      <c r="H308" s="6">
        <f>0</f>
        <v>0</v>
      </c>
    </row>
    <row r="309" spans="1:8" ht="36" x14ac:dyDescent="0.25">
      <c r="A309" s="51"/>
      <c r="B309" s="62"/>
      <c r="C309" s="5" t="s">
        <v>36</v>
      </c>
      <c r="D309" s="5" t="s">
        <v>436</v>
      </c>
      <c r="E309" s="6">
        <f>E310</f>
        <v>1572</v>
      </c>
      <c r="F309" s="6">
        <f>F310</f>
        <v>712.44</v>
      </c>
      <c r="G309" s="6" t="s">
        <v>637</v>
      </c>
      <c r="H309" s="6">
        <f>H310</f>
        <v>712.44</v>
      </c>
    </row>
    <row r="310" spans="1:8" ht="36" customHeight="1" x14ac:dyDescent="0.25">
      <c r="A310" s="51"/>
      <c r="B310" s="62"/>
      <c r="C310" s="7" t="s">
        <v>387</v>
      </c>
      <c r="D310" s="5" t="s">
        <v>388</v>
      </c>
      <c r="E310" s="6">
        <f>1572</f>
        <v>1572</v>
      </c>
      <c r="F310" s="6">
        <f>712.44</f>
        <v>712.44</v>
      </c>
      <c r="G310" s="6" t="s">
        <v>637</v>
      </c>
      <c r="H310" s="6">
        <f>712.44</f>
        <v>712.44</v>
      </c>
    </row>
    <row r="311" spans="1:8" ht="20.25" customHeight="1" thickBot="1" x14ac:dyDescent="0.3">
      <c r="A311" s="59" t="s">
        <v>18</v>
      </c>
      <c r="B311" s="60"/>
      <c r="C311" s="60"/>
      <c r="D311" s="60"/>
      <c r="E311" s="37">
        <f>E207+E240+E263+E269+E294+E303</f>
        <v>80384.459999999992</v>
      </c>
      <c r="F311" s="34">
        <f>F207+F240+F263+F269+F294+F303</f>
        <v>44720.92</v>
      </c>
      <c r="G311" s="34" t="s">
        <v>823</v>
      </c>
      <c r="H311" s="34">
        <f>H207+H240+H263+H269+H294+H303</f>
        <v>44720.92</v>
      </c>
    </row>
    <row r="312" spans="1:8" ht="18" customHeight="1" x14ac:dyDescent="0.25">
      <c r="A312" s="73">
        <v>9</v>
      </c>
      <c r="B312" s="74" t="s">
        <v>172</v>
      </c>
      <c r="C312" s="3" t="s">
        <v>8</v>
      </c>
      <c r="D312" s="3" t="s">
        <v>379</v>
      </c>
      <c r="E312" s="4">
        <f>E313+E314+E315</f>
        <v>0</v>
      </c>
      <c r="F312" s="4">
        <f>F313+F314+F315</f>
        <v>0</v>
      </c>
      <c r="G312" s="4" t="s">
        <v>10</v>
      </c>
      <c r="H312" s="4">
        <f>H313+H314+H315</f>
        <v>0</v>
      </c>
    </row>
    <row r="313" spans="1:8" x14ac:dyDescent="0.25">
      <c r="A313" s="61"/>
      <c r="B313" s="62"/>
      <c r="C313" s="5" t="s">
        <v>21</v>
      </c>
      <c r="D313" s="5" t="s">
        <v>173</v>
      </c>
      <c r="E313" s="6">
        <f>0</f>
        <v>0</v>
      </c>
      <c r="F313" s="6">
        <f>0</f>
        <v>0</v>
      </c>
      <c r="G313" s="6" t="s">
        <v>10</v>
      </c>
      <c r="H313" s="6">
        <f>0</f>
        <v>0</v>
      </c>
    </row>
    <row r="314" spans="1:8" x14ac:dyDescent="0.25">
      <c r="A314" s="61"/>
      <c r="B314" s="62"/>
      <c r="C314" s="5" t="s">
        <v>90</v>
      </c>
      <c r="D314" s="5" t="s">
        <v>174</v>
      </c>
      <c r="E314" s="6">
        <f>0</f>
        <v>0</v>
      </c>
      <c r="F314" s="6">
        <f>0</f>
        <v>0</v>
      </c>
      <c r="G314" s="6" t="s">
        <v>10</v>
      </c>
      <c r="H314" s="6">
        <f>0</f>
        <v>0</v>
      </c>
    </row>
    <row r="315" spans="1:8" ht="24" x14ac:dyDescent="0.25">
      <c r="A315" s="61"/>
      <c r="B315" s="62"/>
      <c r="C315" s="5" t="s">
        <v>175</v>
      </c>
      <c r="D315" s="5" t="s">
        <v>176</v>
      </c>
      <c r="E315" s="6">
        <f>0</f>
        <v>0</v>
      </c>
      <c r="F315" s="6">
        <f>0</f>
        <v>0</v>
      </c>
      <c r="G315" s="6" t="s">
        <v>10</v>
      </c>
      <c r="H315" s="6">
        <f>0</f>
        <v>0</v>
      </c>
    </row>
    <row r="316" spans="1:8" ht="19.5" customHeight="1" x14ac:dyDescent="0.25">
      <c r="A316" s="61"/>
      <c r="B316" s="62"/>
      <c r="C316" s="3" t="s">
        <v>20</v>
      </c>
      <c r="D316" s="3" t="s">
        <v>177</v>
      </c>
      <c r="E316" s="4">
        <f>E317</f>
        <v>11902.75</v>
      </c>
      <c r="F316" s="4">
        <f>F317</f>
        <v>11902.680000000002</v>
      </c>
      <c r="G316" s="4" t="s">
        <v>282</v>
      </c>
      <c r="H316" s="4">
        <f>H317</f>
        <v>11902.680000000002</v>
      </c>
    </row>
    <row r="317" spans="1:8" ht="24" x14ac:dyDescent="0.25">
      <c r="A317" s="61"/>
      <c r="B317" s="62"/>
      <c r="C317" s="5" t="s">
        <v>21</v>
      </c>
      <c r="D317" s="5" t="s">
        <v>380</v>
      </c>
      <c r="E317" s="6">
        <f>E318</f>
        <v>11902.75</v>
      </c>
      <c r="F317" s="6">
        <f>F318</f>
        <v>11902.680000000002</v>
      </c>
      <c r="G317" s="6" t="s">
        <v>282</v>
      </c>
      <c r="H317" s="6">
        <f>H318</f>
        <v>11902.680000000002</v>
      </c>
    </row>
    <row r="318" spans="1:8" x14ac:dyDescent="0.25">
      <c r="A318" s="61"/>
      <c r="B318" s="62"/>
      <c r="C318" s="7" t="s">
        <v>258</v>
      </c>
      <c r="D318" s="5" t="s">
        <v>381</v>
      </c>
      <c r="E318" s="6">
        <f>600.95+10490+601+210.8</f>
        <v>11902.75</v>
      </c>
      <c r="F318" s="6">
        <f>600.95+10490+600.94+210.79</f>
        <v>11902.680000000002</v>
      </c>
      <c r="G318" s="6" t="s">
        <v>282</v>
      </c>
      <c r="H318" s="6">
        <f>600.95+10490+600.94+210.79</f>
        <v>11902.680000000002</v>
      </c>
    </row>
    <row r="319" spans="1:8" ht="24" x14ac:dyDescent="0.25">
      <c r="A319" s="61"/>
      <c r="B319" s="62"/>
      <c r="C319" s="3" t="s">
        <v>25</v>
      </c>
      <c r="D319" s="3" t="s">
        <v>178</v>
      </c>
      <c r="E319" s="4">
        <f>E320</f>
        <v>68853.42</v>
      </c>
      <c r="F319" s="4">
        <f>F320</f>
        <v>58539.88</v>
      </c>
      <c r="G319" s="4" t="s">
        <v>824</v>
      </c>
      <c r="H319" s="4">
        <f>H320</f>
        <v>58539.88</v>
      </c>
    </row>
    <row r="320" spans="1:8" ht="24" x14ac:dyDescent="0.25">
      <c r="A320" s="61"/>
      <c r="B320" s="62"/>
      <c r="C320" s="5" t="s">
        <v>21</v>
      </c>
      <c r="D320" s="5" t="s">
        <v>192</v>
      </c>
      <c r="E320" s="6">
        <f>E321</f>
        <v>68853.42</v>
      </c>
      <c r="F320" s="6">
        <f>F321</f>
        <v>58539.88</v>
      </c>
      <c r="G320" s="6" t="s">
        <v>824</v>
      </c>
      <c r="H320" s="6">
        <f>H321</f>
        <v>58539.88</v>
      </c>
    </row>
    <row r="321" spans="1:8" ht="24" x14ac:dyDescent="0.25">
      <c r="A321" s="61"/>
      <c r="B321" s="62"/>
      <c r="C321" s="7" t="s">
        <v>258</v>
      </c>
      <c r="D321" s="5" t="s">
        <v>179</v>
      </c>
      <c r="E321" s="6">
        <f>E322+E323</f>
        <v>68853.42</v>
      </c>
      <c r="F321" s="6">
        <f>F322+F323</f>
        <v>58539.88</v>
      </c>
      <c r="G321" s="6" t="s">
        <v>824</v>
      </c>
      <c r="H321" s="6">
        <f>H322+H323</f>
        <v>58539.88</v>
      </c>
    </row>
    <row r="322" spans="1:8" ht="24" x14ac:dyDescent="0.25">
      <c r="A322" s="61"/>
      <c r="B322" s="62"/>
      <c r="C322" s="7" t="s">
        <v>259</v>
      </c>
      <c r="D322" s="5" t="s">
        <v>437</v>
      </c>
      <c r="E322" s="6">
        <f>5667.42+59666</f>
        <v>65333.42</v>
      </c>
      <c r="F322" s="6">
        <f>5667.42+50702.17</f>
        <v>56369.59</v>
      </c>
      <c r="G322" s="6" t="s">
        <v>825</v>
      </c>
      <c r="H322" s="6">
        <f>5667.42+50702.17</f>
        <v>56369.59</v>
      </c>
    </row>
    <row r="323" spans="1:8" ht="36" x14ac:dyDescent="0.25">
      <c r="A323" s="61"/>
      <c r="B323" s="62"/>
      <c r="C323" s="7" t="s">
        <v>260</v>
      </c>
      <c r="D323" s="5" t="s">
        <v>438</v>
      </c>
      <c r="E323" s="6">
        <f>3520</f>
        <v>3520</v>
      </c>
      <c r="F323" s="6">
        <f>2170.29</f>
        <v>2170.29</v>
      </c>
      <c r="G323" s="6" t="s">
        <v>826</v>
      </c>
      <c r="H323" s="6">
        <f>2170.29</f>
        <v>2170.29</v>
      </c>
    </row>
    <row r="324" spans="1:8" ht="20.25" customHeight="1" x14ac:dyDescent="0.25">
      <c r="A324" s="61"/>
      <c r="B324" s="62"/>
      <c r="C324" s="3" t="s">
        <v>35</v>
      </c>
      <c r="D324" s="3" t="s">
        <v>375</v>
      </c>
      <c r="E324" s="4">
        <f>E325</f>
        <v>0</v>
      </c>
      <c r="F324" s="4">
        <f>F325</f>
        <v>0</v>
      </c>
      <c r="G324" s="4" t="s">
        <v>10</v>
      </c>
      <c r="H324" s="4">
        <f>H325</f>
        <v>0</v>
      </c>
    </row>
    <row r="325" spans="1:8" ht="24" x14ac:dyDescent="0.25">
      <c r="A325" s="61"/>
      <c r="B325" s="62"/>
      <c r="C325" s="5" t="s">
        <v>21</v>
      </c>
      <c r="D325" s="5" t="s">
        <v>376</v>
      </c>
      <c r="E325" s="6">
        <f>0</f>
        <v>0</v>
      </c>
      <c r="F325" s="6">
        <f>0</f>
        <v>0</v>
      </c>
      <c r="G325" s="6" t="s">
        <v>10</v>
      </c>
      <c r="H325" s="6">
        <f>0</f>
        <v>0</v>
      </c>
    </row>
    <row r="326" spans="1:8" ht="18.75" customHeight="1" x14ac:dyDescent="0.25">
      <c r="A326" s="61"/>
      <c r="B326" s="62"/>
      <c r="C326" s="3" t="s">
        <v>39</v>
      </c>
      <c r="D326" s="3" t="s">
        <v>180</v>
      </c>
      <c r="E326" s="4">
        <f>E327</f>
        <v>0</v>
      </c>
      <c r="F326" s="4">
        <f>F327</f>
        <v>0</v>
      </c>
      <c r="G326" s="4" t="s">
        <v>10</v>
      </c>
      <c r="H326" s="4">
        <f>H327</f>
        <v>0</v>
      </c>
    </row>
    <row r="327" spans="1:8" ht="36" x14ac:dyDescent="0.25">
      <c r="A327" s="61"/>
      <c r="B327" s="62"/>
      <c r="C327" s="5" t="s">
        <v>36</v>
      </c>
      <c r="D327" s="5" t="s">
        <v>181</v>
      </c>
      <c r="E327" s="6">
        <f>0</f>
        <v>0</v>
      </c>
      <c r="F327" s="6">
        <f>0</f>
        <v>0</v>
      </c>
      <c r="G327" s="6" t="s">
        <v>10</v>
      </c>
      <c r="H327" s="6">
        <f>0</f>
        <v>0</v>
      </c>
    </row>
    <row r="328" spans="1:8" ht="20.25" customHeight="1" thickBot="1" x14ac:dyDescent="0.3">
      <c r="A328" s="70" t="s">
        <v>18</v>
      </c>
      <c r="B328" s="71"/>
      <c r="C328" s="71"/>
      <c r="D328" s="72"/>
      <c r="E328" s="37">
        <f>E312+E316+E319+E324+E326</f>
        <v>80756.17</v>
      </c>
      <c r="F328" s="34">
        <f>F312+F316+F319+F324+F326</f>
        <v>70442.559999999998</v>
      </c>
      <c r="G328" s="38" t="s">
        <v>827</v>
      </c>
      <c r="H328" s="34">
        <f>H312+H316+H319+H324+H326</f>
        <v>70442.559999999998</v>
      </c>
    </row>
    <row r="329" spans="1:8" ht="21" customHeight="1" x14ac:dyDescent="0.25">
      <c r="A329" s="61">
        <v>10</v>
      </c>
      <c r="B329" s="62" t="s">
        <v>182</v>
      </c>
      <c r="C329" s="3" t="s">
        <v>8</v>
      </c>
      <c r="D329" s="3" t="s">
        <v>439</v>
      </c>
      <c r="E329" s="4">
        <f>E330</f>
        <v>699</v>
      </c>
      <c r="F329" s="4">
        <f>F330</f>
        <v>691.73</v>
      </c>
      <c r="G329" s="4" t="s">
        <v>828</v>
      </c>
      <c r="H329" s="4">
        <f>H330</f>
        <v>691.73</v>
      </c>
    </row>
    <row r="330" spans="1:8" ht="24" x14ac:dyDescent="0.25">
      <c r="A330" s="61"/>
      <c r="B330" s="62"/>
      <c r="C330" s="5" t="s">
        <v>36</v>
      </c>
      <c r="D330" s="5" t="s">
        <v>440</v>
      </c>
      <c r="E330" s="6">
        <f>E331</f>
        <v>699</v>
      </c>
      <c r="F330" s="6">
        <f>F331</f>
        <v>691.73</v>
      </c>
      <c r="G330" s="6" t="s">
        <v>828</v>
      </c>
      <c r="H330" s="6">
        <f>H331</f>
        <v>691.73</v>
      </c>
    </row>
    <row r="331" spans="1:8" ht="18" customHeight="1" x14ac:dyDescent="0.25">
      <c r="A331" s="61"/>
      <c r="B331" s="62"/>
      <c r="C331" s="7" t="s">
        <v>272</v>
      </c>
      <c r="D331" s="5" t="s">
        <v>441</v>
      </c>
      <c r="E331" s="6">
        <f>699</f>
        <v>699</v>
      </c>
      <c r="F331" s="6">
        <f>691.73</f>
        <v>691.73</v>
      </c>
      <c r="G331" s="6" t="s">
        <v>828</v>
      </c>
      <c r="H331" s="6">
        <f>691.73</f>
        <v>691.73</v>
      </c>
    </row>
    <row r="332" spans="1:8" ht="20.25" customHeight="1" x14ac:dyDescent="0.25">
      <c r="A332" s="61"/>
      <c r="B332" s="62"/>
      <c r="C332" s="3" t="s">
        <v>25</v>
      </c>
      <c r="D332" s="3" t="s">
        <v>442</v>
      </c>
      <c r="E332" s="4">
        <f>E333+E338</f>
        <v>133593.59</v>
      </c>
      <c r="F332" s="4">
        <f>F333+F338</f>
        <v>0</v>
      </c>
      <c r="G332" s="4" t="s">
        <v>47</v>
      </c>
      <c r="H332" s="4">
        <f>H333+H338</f>
        <v>0</v>
      </c>
    </row>
    <row r="333" spans="1:8" ht="24" x14ac:dyDescent="0.25">
      <c r="A333" s="61"/>
      <c r="B333" s="62"/>
      <c r="C333" s="5" t="s">
        <v>36</v>
      </c>
      <c r="D333" s="5" t="s">
        <v>443</v>
      </c>
      <c r="E333" s="6">
        <f>E334+E335+E336+E337</f>
        <v>133593.59</v>
      </c>
      <c r="F333" s="6">
        <f>F334+F335+F336+F337</f>
        <v>0</v>
      </c>
      <c r="G333" s="6" t="s">
        <v>47</v>
      </c>
      <c r="H333" s="6">
        <f>H334+H335+H336+H337</f>
        <v>0</v>
      </c>
    </row>
    <row r="334" spans="1:8" x14ac:dyDescent="0.25">
      <c r="A334" s="61"/>
      <c r="B334" s="62"/>
      <c r="C334" s="7" t="s">
        <v>272</v>
      </c>
      <c r="D334" s="5" t="s">
        <v>444</v>
      </c>
      <c r="E334" s="6">
        <f>0</f>
        <v>0</v>
      </c>
      <c r="F334" s="6">
        <f>0</f>
        <v>0</v>
      </c>
      <c r="G334" s="6" t="s">
        <v>10</v>
      </c>
      <c r="H334" s="6">
        <f>0</f>
        <v>0</v>
      </c>
    </row>
    <row r="335" spans="1:8" x14ac:dyDescent="0.25">
      <c r="A335" s="61"/>
      <c r="B335" s="62"/>
      <c r="C335" s="7" t="s">
        <v>273</v>
      </c>
      <c r="D335" s="5" t="s">
        <v>445</v>
      </c>
      <c r="E335" s="6">
        <f>32196.06+101397.53</f>
        <v>133593.59</v>
      </c>
      <c r="F335" s="6">
        <f>0</f>
        <v>0</v>
      </c>
      <c r="G335" s="6" t="s">
        <v>47</v>
      </c>
      <c r="H335" s="6">
        <f>0</f>
        <v>0</v>
      </c>
    </row>
    <row r="336" spans="1:8" x14ac:dyDescent="0.25">
      <c r="A336" s="61"/>
      <c r="B336" s="62"/>
      <c r="C336" s="7" t="s">
        <v>275</v>
      </c>
      <c r="D336" s="5" t="s">
        <v>446</v>
      </c>
      <c r="E336" s="6">
        <f>0</f>
        <v>0</v>
      </c>
      <c r="F336" s="6">
        <f>0</f>
        <v>0</v>
      </c>
      <c r="G336" s="6" t="s">
        <v>10</v>
      </c>
      <c r="H336" s="6">
        <f>0</f>
        <v>0</v>
      </c>
    </row>
    <row r="337" spans="1:8" x14ac:dyDescent="0.25">
      <c r="A337" s="61"/>
      <c r="B337" s="62"/>
      <c r="C337" s="7" t="s">
        <v>276</v>
      </c>
      <c r="D337" s="5" t="s">
        <v>447</v>
      </c>
      <c r="E337" s="6">
        <f>0</f>
        <v>0</v>
      </c>
      <c r="F337" s="6">
        <f>0</f>
        <v>0</v>
      </c>
      <c r="G337" s="6" t="s">
        <v>10</v>
      </c>
      <c r="H337" s="6">
        <f>0</f>
        <v>0</v>
      </c>
    </row>
    <row r="338" spans="1:8" ht="24" x14ac:dyDescent="0.25">
      <c r="A338" s="61"/>
      <c r="B338" s="62"/>
      <c r="C338" s="5" t="s">
        <v>30</v>
      </c>
      <c r="D338" s="5" t="s">
        <v>448</v>
      </c>
      <c r="E338" s="6">
        <f>0</f>
        <v>0</v>
      </c>
      <c r="F338" s="6">
        <f>0</f>
        <v>0</v>
      </c>
      <c r="G338" s="6" t="s">
        <v>10</v>
      </c>
      <c r="H338" s="6">
        <f>0</f>
        <v>0</v>
      </c>
    </row>
    <row r="339" spans="1:8" ht="19.5" customHeight="1" x14ac:dyDescent="0.25">
      <c r="A339" s="61"/>
      <c r="B339" s="62"/>
      <c r="C339" s="3" t="s">
        <v>29</v>
      </c>
      <c r="D339" s="3" t="s">
        <v>449</v>
      </c>
      <c r="E339" s="4">
        <f>E340+E341+E344</f>
        <v>7155.5</v>
      </c>
      <c r="F339" s="4">
        <f>F340+F341+F344</f>
        <v>0</v>
      </c>
      <c r="G339" s="4" t="s">
        <v>47</v>
      </c>
      <c r="H339" s="4">
        <f>H340+H341+H344</f>
        <v>0</v>
      </c>
    </row>
    <row r="340" spans="1:8" x14ac:dyDescent="0.25">
      <c r="A340" s="61"/>
      <c r="B340" s="62"/>
      <c r="C340" s="5" t="s">
        <v>21</v>
      </c>
      <c r="D340" s="5" t="s">
        <v>450</v>
      </c>
      <c r="E340" s="6">
        <f>0</f>
        <v>0</v>
      </c>
      <c r="F340" s="6">
        <f>0</f>
        <v>0</v>
      </c>
      <c r="G340" s="6" t="s">
        <v>10</v>
      </c>
      <c r="H340" s="6">
        <f>0</f>
        <v>0</v>
      </c>
    </row>
    <row r="341" spans="1:8" x14ac:dyDescent="0.25">
      <c r="A341" s="61"/>
      <c r="B341" s="62"/>
      <c r="C341" s="5" t="s">
        <v>36</v>
      </c>
      <c r="D341" s="5" t="s">
        <v>451</v>
      </c>
      <c r="E341" s="6">
        <f>E342+E343</f>
        <v>7155.5</v>
      </c>
      <c r="F341" s="6">
        <f>F342+F343</f>
        <v>0</v>
      </c>
      <c r="G341" s="6" t="s">
        <v>47</v>
      </c>
      <c r="H341" s="6">
        <f>H342+H343</f>
        <v>0</v>
      </c>
    </row>
    <row r="342" spans="1:8" x14ac:dyDescent="0.25">
      <c r="A342" s="61"/>
      <c r="B342" s="62"/>
      <c r="C342" s="7" t="s">
        <v>272</v>
      </c>
      <c r="D342" s="5" t="s">
        <v>452</v>
      </c>
      <c r="E342" s="6">
        <f>100</f>
        <v>100</v>
      </c>
      <c r="F342" s="6">
        <f>0</f>
        <v>0</v>
      </c>
      <c r="G342" s="6" t="s">
        <v>47</v>
      </c>
      <c r="H342" s="6">
        <f>0</f>
        <v>0</v>
      </c>
    </row>
    <row r="343" spans="1:8" ht="24" x14ac:dyDescent="0.25">
      <c r="A343" s="61"/>
      <c r="B343" s="62"/>
      <c r="C343" s="7" t="s">
        <v>273</v>
      </c>
      <c r="D343" s="5" t="s">
        <v>453</v>
      </c>
      <c r="E343" s="6">
        <f>7055.5</f>
        <v>7055.5</v>
      </c>
      <c r="F343" s="6">
        <f>0</f>
        <v>0</v>
      </c>
      <c r="G343" s="6" t="s">
        <v>47</v>
      </c>
      <c r="H343" s="6">
        <f>0</f>
        <v>0</v>
      </c>
    </row>
    <row r="344" spans="1:8" ht="18" customHeight="1" x14ac:dyDescent="0.25">
      <c r="A344" s="61"/>
      <c r="B344" s="62"/>
      <c r="C344" s="5" t="s">
        <v>11</v>
      </c>
      <c r="D344" s="5" t="s">
        <v>454</v>
      </c>
      <c r="E344" s="6">
        <f>0</f>
        <v>0</v>
      </c>
      <c r="F344" s="6">
        <f>0</f>
        <v>0</v>
      </c>
      <c r="G344" s="6" t="s">
        <v>10</v>
      </c>
      <c r="H344" s="6">
        <f>0</f>
        <v>0</v>
      </c>
    </row>
    <row r="345" spans="1:8" ht="19.5" customHeight="1" x14ac:dyDescent="0.25">
      <c r="A345" s="61"/>
      <c r="B345" s="62"/>
      <c r="C345" s="3" t="s">
        <v>39</v>
      </c>
      <c r="D345" s="3" t="s">
        <v>40</v>
      </c>
      <c r="E345" s="4">
        <f>E346</f>
        <v>172</v>
      </c>
      <c r="F345" s="4">
        <f>F346</f>
        <v>0</v>
      </c>
      <c r="G345" s="4" t="s">
        <v>47</v>
      </c>
      <c r="H345" s="4">
        <f>H346</f>
        <v>0</v>
      </c>
    </row>
    <row r="346" spans="1:8" ht="18" customHeight="1" x14ac:dyDescent="0.25">
      <c r="A346" s="61"/>
      <c r="B346" s="62"/>
      <c r="C346" s="5" t="s">
        <v>21</v>
      </c>
      <c r="D346" s="5" t="s">
        <v>41</v>
      </c>
      <c r="E346" s="6">
        <f>E347+E348+E349+E350+E351</f>
        <v>172</v>
      </c>
      <c r="F346" s="6">
        <f>F347+F348+F349+F350+F351</f>
        <v>0</v>
      </c>
      <c r="G346" s="6" t="s">
        <v>47</v>
      </c>
      <c r="H346" s="6">
        <f>H347+H348+H349+H350+H351</f>
        <v>0</v>
      </c>
    </row>
    <row r="347" spans="1:8" ht="24" x14ac:dyDescent="0.25">
      <c r="A347" s="61"/>
      <c r="B347" s="62"/>
      <c r="C347" s="7" t="s">
        <v>258</v>
      </c>
      <c r="D347" s="5" t="s">
        <v>713</v>
      </c>
      <c r="E347" s="6">
        <f>0</f>
        <v>0</v>
      </c>
      <c r="F347" s="6">
        <f>0</f>
        <v>0</v>
      </c>
      <c r="G347" s="6" t="s">
        <v>10</v>
      </c>
      <c r="H347" s="6">
        <f>0</f>
        <v>0</v>
      </c>
    </row>
    <row r="348" spans="1:8" ht="21.75" customHeight="1" x14ac:dyDescent="0.25">
      <c r="A348" s="61"/>
      <c r="B348" s="62"/>
      <c r="C348" s="7" t="s">
        <v>262</v>
      </c>
      <c r="D348" s="5" t="s">
        <v>829</v>
      </c>
      <c r="E348" s="6">
        <f>0</f>
        <v>0</v>
      </c>
      <c r="F348" s="6">
        <f>0</f>
        <v>0</v>
      </c>
      <c r="G348" s="6" t="s">
        <v>10</v>
      </c>
      <c r="H348" s="6">
        <f>0</f>
        <v>0</v>
      </c>
    </row>
    <row r="349" spans="1:8" x14ac:dyDescent="0.25">
      <c r="A349" s="61"/>
      <c r="B349" s="62"/>
      <c r="C349" s="7" t="s">
        <v>271</v>
      </c>
      <c r="D349" s="5" t="s">
        <v>830</v>
      </c>
      <c r="E349" s="6">
        <f>0</f>
        <v>0</v>
      </c>
      <c r="F349" s="6">
        <f>0</f>
        <v>0</v>
      </c>
      <c r="G349" s="6" t="s">
        <v>10</v>
      </c>
      <c r="H349" s="6">
        <f>0</f>
        <v>0</v>
      </c>
    </row>
    <row r="350" spans="1:8" ht="22.5" customHeight="1" x14ac:dyDescent="0.25">
      <c r="A350" s="61"/>
      <c r="B350" s="62"/>
      <c r="C350" s="7" t="s">
        <v>266</v>
      </c>
      <c r="D350" s="5" t="s">
        <v>831</v>
      </c>
      <c r="E350" s="6">
        <f>0</f>
        <v>0</v>
      </c>
      <c r="F350" s="6">
        <f>0</f>
        <v>0</v>
      </c>
      <c r="G350" s="6" t="s">
        <v>10</v>
      </c>
      <c r="H350" s="6">
        <f>0</f>
        <v>0</v>
      </c>
    </row>
    <row r="351" spans="1:8" ht="24" x14ac:dyDescent="0.25">
      <c r="A351" s="61"/>
      <c r="B351" s="62"/>
      <c r="C351" s="7" t="s">
        <v>661</v>
      </c>
      <c r="D351" s="5" t="s">
        <v>832</v>
      </c>
      <c r="E351" s="6">
        <f>172</f>
        <v>172</v>
      </c>
      <c r="F351" s="6">
        <f>0</f>
        <v>0</v>
      </c>
      <c r="G351" s="6" t="s">
        <v>47</v>
      </c>
      <c r="H351" s="6">
        <f>0</f>
        <v>0</v>
      </c>
    </row>
    <row r="352" spans="1:8" ht="20.25" customHeight="1" thickBot="1" x14ac:dyDescent="0.3">
      <c r="A352" s="70" t="s">
        <v>18</v>
      </c>
      <c r="B352" s="71"/>
      <c r="C352" s="71"/>
      <c r="D352" s="72"/>
      <c r="E352" s="37">
        <f>E329+E332+E339+E345</f>
        <v>141620.09</v>
      </c>
      <c r="F352" s="34">
        <f>F329+F332+F339+F345</f>
        <v>691.73</v>
      </c>
      <c r="G352" s="35" t="s">
        <v>833</v>
      </c>
      <c r="H352" s="34">
        <f>H329+H332+H339+H345</f>
        <v>691.73</v>
      </c>
    </row>
    <row r="353" spans="1:8" ht="21.75" customHeight="1" x14ac:dyDescent="0.25">
      <c r="A353" s="61">
        <v>11</v>
      </c>
      <c r="B353" s="62" t="s">
        <v>183</v>
      </c>
      <c r="C353" s="3" t="s">
        <v>8</v>
      </c>
      <c r="D353" s="3" t="s">
        <v>455</v>
      </c>
      <c r="E353" s="4">
        <f>E354+E355+E377+E378</f>
        <v>40796.259999999995</v>
      </c>
      <c r="F353" s="4">
        <f>F354+F355+F377+F378</f>
        <v>33415.159999999996</v>
      </c>
      <c r="G353" s="4" t="s">
        <v>834</v>
      </c>
      <c r="H353" s="4">
        <f>H354+H355+H377+H378</f>
        <v>33415.159999999996</v>
      </c>
    </row>
    <row r="354" spans="1:8" x14ac:dyDescent="0.25">
      <c r="A354" s="61"/>
      <c r="B354" s="62"/>
      <c r="C354" s="5" t="s">
        <v>36</v>
      </c>
      <c r="D354" s="5" t="s">
        <v>456</v>
      </c>
      <c r="E354" s="6">
        <f>0</f>
        <v>0</v>
      </c>
      <c r="F354" s="6">
        <f>0</f>
        <v>0</v>
      </c>
      <c r="G354" s="6" t="s">
        <v>10</v>
      </c>
      <c r="H354" s="6">
        <f>0</f>
        <v>0</v>
      </c>
    </row>
    <row r="355" spans="1:8" ht="24" x14ac:dyDescent="0.25">
      <c r="A355" s="61"/>
      <c r="B355" s="62"/>
      <c r="C355" s="5" t="s">
        <v>90</v>
      </c>
      <c r="D355" s="5" t="s">
        <v>457</v>
      </c>
      <c r="E355" s="6">
        <f>E356</f>
        <v>40796.259999999995</v>
      </c>
      <c r="F355" s="6">
        <f>F356</f>
        <v>33415.159999999996</v>
      </c>
      <c r="G355" s="6" t="s">
        <v>834</v>
      </c>
      <c r="H355" s="6">
        <f>H356</f>
        <v>33415.159999999996</v>
      </c>
    </row>
    <row r="356" spans="1:8" ht="36" x14ac:dyDescent="0.25">
      <c r="A356" s="61"/>
      <c r="B356" s="62"/>
      <c r="C356" s="7" t="s">
        <v>458</v>
      </c>
      <c r="D356" s="5" t="s">
        <v>459</v>
      </c>
      <c r="E356" s="6">
        <f>E357+E358+E359+E364+E365+E366+E367+E368+E369+E370+E371+E372+E373+E374+E375+E376</f>
        <v>40796.259999999995</v>
      </c>
      <c r="F356" s="6">
        <f>F357+F358+F359+F364+F365+F366+F367+F368+F369+F370+F371+F372+F373+F374+F375+F376</f>
        <v>33415.159999999996</v>
      </c>
      <c r="G356" s="6" t="s">
        <v>834</v>
      </c>
      <c r="H356" s="6">
        <f>H357+H358+H359+H364+H365+H366+H367+H368+H369+H370+H371+H372+H373+H374+H375+H376</f>
        <v>33415.159999999996</v>
      </c>
    </row>
    <row r="357" spans="1:8" ht="36" x14ac:dyDescent="0.25">
      <c r="A357" s="61"/>
      <c r="B357" s="62"/>
      <c r="C357" s="7" t="s">
        <v>460</v>
      </c>
      <c r="D357" s="5" t="s">
        <v>461</v>
      </c>
      <c r="E357" s="6">
        <f>0</f>
        <v>0</v>
      </c>
      <c r="F357" s="6">
        <f>0</f>
        <v>0</v>
      </c>
      <c r="G357" s="6" t="s">
        <v>10</v>
      </c>
      <c r="H357" s="6">
        <f>0</f>
        <v>0</v>
      </c>
    </row>
    <row r="358" spans="1:8" ht="36" x14ac:dyDescent="0.25">
      <c r="A358" s="61"/>
      <c r="B358" s="62"/>
      <c r="C358" s="7" t="s">
        <v>462</v>
      </c>
      <c r="D358" s="5" t="s">
        <v>463</v>
      </c>
      <c r="E358" s="6">
        <f>0</f>
        <v>0</v>
      </c>
      <c r="F358" s="6">
        <f>0</f>
        <v>0</v>
      </c>
      <c r="G358" s="6" t="s">
        <v>10</v>
      </c>
      <c r="H358" s="6">
        <f>0</f>
        <v>0</v>
      </c>
    </row>
    <row r="359" spans="1:8" x14ac:dyDescent="0.25">
      <c r="A359" s="61"/>
      <c r="B359" s="62"/>
      <c r="C359" s="7" t="s">
        <v>464</v>
      </c>
      <c r="D359" s="5" t="s">
        <v>465</v>
      </c>
      <c r="E359" s="6">
        <f>E360+E361+E362+E363</f>
        <v>67.260000000000005</v>
      </c>
      <c r="F359" s="6">
        <f>F360+F361+F362+F363</f>
        <v>50.44</v>
      </c>
      <c r="G359" s="6" t="s">
        <v>835</v>
      </c>
      <c r="H359" s="6">
        <f>H360+H361+H362+H363</f>
        <v>50.44</v>
      </c>
    </row>
    <row r="360" spans="1:8" ht="24" x14ac:dyDescent="0.25">
      <c r="A360" s="61"/>
      <c r="B360" s="62"/>
      <c r="C360" s="7" t="s">
        <v>467</v>
      </c>
      <c r="D360" s="5" t="s">
        <v>468</v>
      </c>
      <c r="E360" s="6">
        <f>0</f>
        <v>0</v>
      </c>
      <c r="F360" s="6">
        <f>0</f>
        <v>0</v>
      </c>
      <c r="G360" s="6" t="s">
        <v>10</v>
      </c>
      <c r="H360" s="6">
        <f>0</f>
        <v>0</v>
      </c>
    </row>
    <row r="361" spans="1:8" x14ac:dyDescent="0.25">
      <c r="A361" s="61"/>
      <c r="B361" s="62"/>
      <c r="C361" s="7" t="s">
        <v>469</v>
      </c>
      <c r="D361" s="5" t="s">
        <v>470</v>
      </c>
      <c r="E361" s="6">
        <f>0</f>
        <v>0</v>
      </c>
      <c r="F361" s="6">
        <f>0</f>
        <v>0</v>
      </c>
      <c r="G361" s="6" t="s">
        <v>10</v>
      </c>
      <c r="H361" s="6">
        <f>0</f>
        <v>0</v>
      </c>
    </row>
    <row r="362" spans="1:8" ht="24" x14ac:dyDescent="0.25">
      <c r="A362" s="61"/>
      <c r="B362" s="62"/>
      <c r="C362" s="7" t="s">
        <v>471</v>
      </c>
      <c r="D362" s="5" t="s">
        <v>472</v>
      </c>
      <c r="E362" s="6">
        <f>0</f>
        <v>0</v>
      </c>
      <c r="F362" s="6">
        <f>0</f>
        <v>0</v>
      </c>
      <c r="G362" s="6" t="s">
        <v>10</v>
      </c>
      <c r="H362" s="6">
        <f>0</f>
        <v>0</v>
      </c>
    </row>
    <row r="363" spans="1:8" ht="24" x14ac:dyDescent="0.25">
      <c r="A363" s="61"/>
      <c r="B363" s="62"/>
      <c r="C363" s="7" t="s">
        <v>473</v>
      </c>
      <c r="D363" s="5" t="s">
        <v>474</v>
      </c>
      <c r="E363" s="6">
        <f>67.26</f>
        <v>67.260000000000005</v>
      </c>
      <c r="F363" s="6">
        <f>50.44</f>
        <v>50.44</v>
      </c>
      <c r="G363" s="6" t="s">
        <v>835</v>
      </c>
      <c r="H363" s="6">
        <f>50.44</f>
        <v>50.44</v>
      </c>
    </row>
    <row r="364" spans="1:8" ht="24" x14ac:dyDescent="0.25">
      <c r="A364" s="61"/>
      <c r="B364" s="62"/>
      <c r="C364" s="7" t="s">
        <v>475</v>
      </c>
      <c r="D364" s="5" t="s">
        <v>476</v>
      </c>
      <c r="E364" s="6">
        <f>0</f>
        <v>0</v>
      </c>
      <c r="F364" s="6">
        <f>0</f>
        <v>0</v>
      </c>
      <c r="G364" s="6" t="s">
        <v>10</v>
      </c>
      <c r="H364" s="6">
        <f>0</f>
        <v>0</v>
      </c>
    </row>
    <row r="365" spans="1:8" x14ac:dyDescent="0.25">
      <c r="A365" s="61"/>
      <c r="B365" s="62"/>
      <c r="C365" s="7" t="s">
        <v>477</v>
      </c>
      <c r="D365" s="5" t="s">
        <v>478</v>
      </c>
      <c r="E365" s="6">
        <f>0</f>
        <v>0</v>
      </c>
      <c r="F365" s="6">
        <f>0</f>
        <v>0</v>
      </c>
      <c r="G365" s="6" t="s">
        <v>10</v>
      </c>
      <c r="H365" s="6">
        <f>0</f>
        <v>0</v>
      </c>
    </row>
    <row r="366" spans="1:8" x14ac:dyDescent="0.25">
      <c r="A366" s="61"/>
      <c r="B366" s="62"/>
      <c r="C366" s="7" t="s">
        <v>479</v>
      </c>
      <c r="D366" s="5" t="s">
        <v>480</v>
      </c>
      <c r="E366" s="6">
        <f>0</f>
        <v>0</v>
      </c>
      <c r="F366" s="6">
        <f>0</f>
        <v>0</v>
      </c>
      <c r="G366" s="6" t="s">
        <v>10</v>
      </c>
      <c r="H366" s="6">
        <f>0</f>
        <v>0</v>
      </c>
    </row>
    <row r="367" spans="1:8" ht="24" x14ac:dyDescent="0.25">
      <c r="A367" s="61"/>
      <c r="B367" s="62"/>
      <c r="C367" s="7" t="s">
        <v>481</v>
      </c>
      <c r="D367" s="5" t="s">
        <v>482</v>
      </c>
      <c r="E367" s="6">
        <f>0</f>
        <v>0</v>
      </c>
      <c r="F367" s="6">
        <f>0</f>
        <v>0</v>
      </c>
      <c r="G367" s="6" t="s">
        <v>10</v>
      </c>
      <c r="H367" s="6">
        <f>0</f>
        <v>0</v>
      </c>
    </row>
    <row r="368" spans="1:8" x14ac:dyDescent="0.25">
      <c r="A368" s="61"/>
      <c r="B368" s="62"/>
      <c r="C368" s="7" t="s">
        <v>483</v>
      </c>
      <c r="D368" s="5" t="s">
        <v>484</v>
      </c>
      <c r="E368" s="6">
        <f>0</f>
        <v>0</v>
      </c>
      <c r="F368" s="6">
        <f>0</f>
        <v>0</v>
      </c>
      <c r="G368" s="6" t="s">
        <v>10</v>
      </c>
      <c r="H368" s="6">
        <f>0</f>
        <v>0</v>
      </c>
    </row>
    <row r="369" spans="1:8" x14ac:dyDescent="0.25">
      <c r="A369" s="61"/>
      <c r="B369" s="62"/>
      <c r="C369" s="7" t="s">
        <v>485</v>
      </c>
      <c r="D369" s="5" t="s">
        <v>486</v>
      </c>
      <c r="E369" s="6">
        <f>0</f>
        <v>0</v>
      </c>
      <c r="F369" s="6">
        <f>0</f>
        <v>0</v>
      </c>
      <c r="G369" s="6" t="s">
        <v>10</v>
      </c>
      <c r="H369" s="6">
        <f>0</f>
        <v>0</v>
      </c>
    </row>
    <row r="370" spans="1:8" ht="24" x14ac:dyDescent="0.25">
      <c r="A370" s="61"/>
      <c r="B370" s="62"/>
      <c r="C370" s="7" t="s">
        <v>487</v>
      </c>
      <c r="D370" s="5" t="s">
        <v>488</v>
      </c>
      <c r="E370" s="6">
        <f>0</f>
        <v>0</v>
      </c>
      <c r="F370" s="6">
        <f>0</f>
        <v>0</v>
      </c>
      <c r="G370" s="6" t="s">
        <v>10</v>
      </c>
      <c r="H370" s="6">
        <f>0</f>
        <v>0</v>
      </c>
    </row>
    <row r="371" spans="1:8" ht="36" x14ac:dyDescent="0.25">
      <c r="A371" s="61"/>
      <c r="B371" s="62"/>
      <c r="C371" s="7" t="s">
        <v>489</v>
      </c>
      <c r="D371" s="5" t="s">
        <v>836</v>
      </c>
      <c r="E371" s="6">
        <f>10128.55+2642.21+7958.24</f>
        <v>20729</v>
      </c>
      <c r="F371" s="6">
        <f>10128.37+2641.72+7958.05</f>
        <v>20728.14</v>
      </c>
      <c r="G371" s="6" t="s">
        <v>282</v>
      </c>
      <c r="H371" s="6">
        <f>10128.37+2641.72+7958.05</f>
        <v>20728.14</v>
      </c>
    </row>
    <row r="372" spans="1:8" ht="24" x14ac:dyDescent="0.25">
      <c r="A372" s="61"/>
      <c r="B372" s="62"/>
      <c r="C372" s="7" t="s">
        <v>490</v>
      </c>
      <c r="D372" s="5" t="s">
        <v>491</v>
      </c>
      <c r="E372" s="6">
        <f>9772.35+2549.29+7678.36</f>
        <v>20000</v>
      </c>
      <c r="F372" s="6">
        <f>6174.6+1610.48+4851.5</f>
        <v>12636.58</v>
      </c>
      <c r="G372" s="6" t="s">
        <v>837</v>
      </c>
      <c r="H372" s="6">
        <f>6174.6+1610.48+4851.5</f>
        <v>12636.58</v>
      </c>
    </row>
    <row r="373" spans="1:8" ht="24" x14ac:dyDescent="0.25">
      <c r="A373" s="61"/>
      <c r="B373" s="62"/>
      <c r="C373" s="7" t="s">
        <v>492</v>
      </c>
      <c r="D373" s="5" t="s">
        <v>493</v>
      </c>
      <c r="E373" s="6">
        <f>0</f>
        <v>0</v>
      </c>
      <c r="F373" s="6">
        <f>0</f>
        <v>0</v>
      </c>
      <c r="G373" s="6" t="s">
        <v>10</v>
      </c>
      <c r="H373" s="6">
        <f>0</f>
        <v>0</v>
      </c>
    </row>
    <row r="374" spans="1:8" ht="24" x14ac:dyDescent="0.25">
      <c r="A374" s="61"/>
      <c r="B374" s="62"/>
      <c r="C374" s="7" t="s">
        <v>494</v>
      </c>
      <c r="D374" s="5" t="s">
        <v>495</v>
      </c>
      <c r="E374" s="6">
        <f>0</f>
        <v>0</v>
      </c>
      <c r="F374" s="6">
        <f>0</f>
        <v>0</v>
      </c>
      <c r="G374" s="6" t="s">
        <v>10</v>
      </c>
      <c r="H374" s="6">
        <f>0</f>
        <v>0</v>
      </c>
    </row>
    <row r="375" spans="1:8" ht="24" x14ac:dyDescent="0.25">
      <c r="A375" s="61"/>
      <c r="B375" s="62"/>
      <c r="C375" s="7" t="s">
        <v>496</v>
      </c>
      <c r="D375" s="5" t="s">
        <v>497</v>
      </c>
      <c r="E375" s="6">
        <f>0</f>
        <v>0</v>
      </c>
      <c r="F375" s="6">
        <f>0</f>
        <v>0</v>
      </c>
      <c r="G375" s="6" t="s">
        <v>10</v>
      </c>
      <c r="H375" s="6">
        <f>0</f>
        <v>0</v>
      </c>
    </row>
    <row r="376" spans="1:8" ht="36" x14ac:dyDescent="0.25">
      <c r="A376" s="61"/>
      <c r="B376" s="62"/>
      <c r="C376" s="7" t="s">
        <v>498</v>
      </c>
      <c r="D376" s="5" t="s">
        <v>499</v>
      </c>
      <c r="E376" s="6">
        <f>0</f>
        <v>0</v>
      </c>
      <c r="F376" s="6">
        <f>0</f>
        <v>0</v>
      </c>
      <c r="G376" s="6" t="s">
        <v>10</v>
      </c>
      <c r="H376" s="6">
        <f>0</f>
        <v>0</v>
      </c>
    </row>
    <row r="377" spans="1:8" x14ac:dyDescent="0.25">
      <c r="A377" s="61"/>
      <c r="B377" s="62"/>
      <c r="C377" s="5" t="s">
        <v>175</v>
      </c>
      <c r="D377" s="5" t="s">
        <v>500</v>
      </c>
      <c r="E377" s="6">
        <f>0</f>
        <v>0</v>
      </c>
      <c r="F377" s="6">
        <f>0</f>
        <v>0</v>
      </c>
      <c r="G377" s="6" t="s">
        <v>10</v>
      </c>
      <c r="H377" s="6">
        <f>0</f>
        <v>0</v>
      </c>
    </row>
    <row r="378" spans="1:8" ht="24" x14ac:dyDescent="0.25">
      <c r="A378" s="61"/>
      <c r="B378" s="62"/>
      <c r="C378" s="5" t="s">
        <v>838</v>
      </c>
      <c r="D378" s="5" t="s">
        <v>839</v>
      </c>
      <c r="E378" s="6">
        <f>0</f>
        <v>0</v>
      </c>
      <c r="F378" s="6">
        <f>0</f>
        <v>0</v>
      </c>
      <c r="G378" s="6" t="s">
        <v>10</v>
      </c>
      <c r="H378" s="6">
        <f>0</f>
        <v>0</v>
      </c>
    </row>
    <row r="379" spans="1:8" ht="19.5" customHeight="1" x14ac:dyDescent="0.25">
      <c r="A379" s="61"/>
      <c r="B379" s="62"/>
      <c r="C379" s="3" t="s">
        <v>20</v>
      </c>
      <c r="D379" s="3" t="s">
        <v>501</v>
      </c>
      <c r="E379" s="4">
        <f>E380+E381+E382+E383</f>
        <v>0</v>
      </c>
      <c r="F379" s="4">
        <f>F380+F381+F382+F383</f>
        <v>0</v>
      </c>
      <c r="G379" s="4" t="s">
        <v>10</v>
      </c>
      <c r="H379" s="4">
        <f>H380+H381+H382+H383</f>
        <v>0</v>
      </c>
    </row>
    <row r="380" spans="1:8" x14ac:dyDescent="0.25">
      <c r="A380" s="61"/>
      <c r="B380" s="62"/>
      <c r="C380" s="5" t="s">
        <v>21</v>
      </c>
      <c r="D380" s="5" t="s">
        <v>502</v>
      </c>
      <c r="E380" s="6">
        <f>0</f>
        <v>0</v>
      </c>
      <c r="F380" s="6">
        <f>0</f>
        <v>0</v>
      </c>
      <c r="G380" s="6" t="s">
        <v>10</v>
      </c>
      <c r="H380" s="6">
        <f>0</f>
        <v>0</v>
      </c>
    </row>
    <row r="381" spans="1:8" x14ac:dyDescent="0.25">
      <c r="A381" s="61"/>
      <c r="B381" s="62"/>
      <c r="C381" s="5" t="s">
        <v>36</v>
      </c>
      <c r="D381" s="5" t="s">
        <v>503</v>
      </c>
      <c r="E381" s="6">
        <f>0</f>
        <v>0</v>
      </c>
      <c r="F381" s="6">
        <f>0</f>
        <v>0</v>
      </c>
      <c r="G381" s="6" t="s">
        <v>10</v>
      </c>
      <c r="H381" s="6">
        <f>0</f>
        <v>0</v>
      </c>
    </row>
    <row r="382" spans="1:8" ht="24" x14ac:dyDescent="0.25">
      <c r="A382" s="61"/>
      <c r="B382" s="62"/>
      <c r="C382" s="5" t="s">
        <v>11</v>
      </c>
      <c r="D382" s="5" t="s">
        <v>504</v>
      </c>
      <c r="E382" s="6">
        <f>0</f>
        <v>0</v>
      </c>
      <c r="F382" s="6">
        <f>0</f>
        <v>0</v>
      </c>
      <c r="G382" s="6" t="s">
        <v>10</v>
      </c>
      <c r="H382" s="6">
        <f>0</f>
        <v>0</v>
      </c>
    </row>
    <row r="383" spans="1:8" ht="20.25" customHeight="1" x14ac:dyDescent="0.25">
      <c r="A383" s="61"/>
      <c r="B383" s="62"/>
      <c r="C383" s="5" t="s">
        <v>90</v>
      </c>
      <c r="D383" s="5" t="s">
        <v>505</v>
      </c>
      <c r="E383" s="6">
        <f>0</f>
        <v>0</v>
      </c>
      <c r="F383" s="6">
        <f>0</f>
        <v>0</v>
      </c>
      <c r="G383" s="6" t="s">
        <v>10</v>
      </c>
      <c r="H383" s="6">
        <f>0</f>
        <v>0</v>
      </c>
    </row>
    <row r="384" spans="1:8" ht="18.75" customHeight="1" x14ac:dyDescent="0.25">
      <c r="A384" s="61"/>
      <c r="B384" s="62"/>
      <c r="C384" s="3" t="s">
        <v>25</v>
      </c>
      <c r="D384" s="3" t="s">
        <v>506</v>
      </c>
      <c r="E384" s="4">
        <f>E385+E390</f>
        <v>6000</v>
      </c>
      <c r="F384" s="4">
        <f>F385+F390</f>
        <v>4407.25</v>
      </c>
      <c r="G384" s="4" t="s">
        <v>840</v>
      </c>
      <c r="H384" s="4">
        <f>H385+H390</f>
        <v>4407.25</v>
      </c>
    </row>
    <row r="385" spans="1:8" x14ac:dyDescent="0.25">
      <c r="A385" s="61"/>
      <c r="B385" s="62"/>
      <c r="C385" s="5" t="s">
        <v>36</v>
      </c>
      <c r="D385" s="5" t="s">
        <v>507</v>
      </c>
      <c r="E385" s="6">
        <f>E386+E387+E388+E389</f>
        <v>5660</v>
      </c>
      <c r="F385" s="6">
        <f>F386+F387+F388+F389</f>
        <v>4407.25</v>
      </c>
      <c r="G385" s="6" t="s">
        <v>841</v>
      </c>
      <c r="H385" s="6">
        <f>H386+H387+H388+H389</f>
        <v>4407.25</v>
      </c>
    </row>
    <row r="386" spans="1:8" ht="24" x14ac:dyDescent="0.25">
      <c r="A386" s="61"/>
      <c r="B386" s="62"/>
      <c r="C386" s="7" t="s">
        <v>272</v>
      </c>
      <c r="D386" s="5" t="s">
        <v>508</v>
      </c>
      <c r="E386" s="6">
        <f>0</f>
        <v>0</v>
      </c>
      <c r="F386" s="6">
        <f>0</f>
        <v>0</v>
      </c>
      <c r="G386" s="6" t="s">
        <v>10</v>
      </c>
      <c r="H386" s="6">
        <f>0</f>
        <v>0</v>
      </c>
    </row>
    <row r="387" spans="1:8" ht="24" x14ac:dyDescent="0.25">
      <c r="A387" s="61"/>
      <c r="B387" s="62"/>
      <c r="C387" s="7" t="s">
        <v>273</v>
      </c>
      <c r="D387" s="5" t="s">
        <v>509</v>
      </c>
      <c r="E387" s="6">
        <f>5660</f>
        <v>5660</v>
      </c>
      <c r="F387" s="6">
        <f>4407.25</f>
        <v>4407.25</v>
      </c>
      <c r="G387" s="6" t="s">
        <v>841</v>
      </c>
      <c r="H387" s="6">
        <f>4407.25</f>
        <v>4407.25</v>
      </c>
    </row>
    <row r="388" spans="1:8" ht="18" customHeight="1" x14ac:dyDescent="0.25">
      <c r="A388" s="61"/>
      <c r="B388" s="62"/>
      <c r="C388" s="7" t="s">
        <v>274</v>
      </c>
      <c r="D388" s="5" t="s">
        <v>510</v>
      </c>
      <c r="E388" s="6">
        <f>0</f>
        <v>0</v>
      </c>
      <c r="F388" s="6">
        <f>0</f>
        <v>0</v>
      </c>
      <c r="G388" s="6" t="s">
        <v>10</v>
      </c>
      <c r="H388" s="6">
        <f>0</f>
        <v>0</v>
      </c>
    </row>
    <row r="389" spans="1:8" ht="18" customHeight="1" x14ac:dyDescent="0.25">
      <c r="A389" s="61"/>
      <c r="B389" s="62"/>
      <c r="C389" s="7" t="s">
        <v>275</v>
      </c>
      <c r="D389" s="5" t="s">
        <v>842</v>
      </c>
      <c r="E389" s="6">
        <f>0</f>
        <v>0</v>
      </c>
      <c r="F389" s="6">
        <f>0</f>
        <v>0</v>
      </c>
      <c r="G389" s="6" t="s">
        <v>10</v>
      </c>
      <c r="H389" s="6">
        <f>0</f>
        <v>0</v>
      </c>
    </row>
    <row r="390" spans="1:8" x14ac:dyDescent="0.25">
      <c r="A390" s="61"/>
      <c r="B390" s="62"/>
      <c r="C390" s="5" t="s">
        <v>248</v>
      </c>
      <c r="D390" s="5" t="s">
        <v>511</v>
      </c>
      <c r="E390" s="6">
        <f>E391</f>
        <v>340</v>
      </c>
      <c r="F390" s="6">
        <f>F391</f>
        <v>0</v>
      </c>
      <c r="G390" s="6" t="s">
        <v>47</v>
      </c>
      <c r="H390" s="6">
        <f>H391</f>
        <v>0</v>
      </c>
    </row>
    <row r="391" spans="1:8" ht="22.5" customHeight="1" x14ac:dyDescent="0.25">
      <c r="A391" s="61"/>
      <c r="B391" s="62"/>
      <c r="C391" s="7" t="s">
        <v>313</v>
      </c>
      <c r="D391" s="5" t="s">
        <v>512</v>
      </c>
      <c r="E391" s="6">
        <f>340</f>
        <v>340</v>
      </c>
      <c r="F391" s="6">
        <f>0</f>
        <v>0</v>
      </c>
      <c r="G391" s="6" t="s">
        <v>47</v>
      </c>
      <c r="H391" s="6">
        <f>0</f>
        <v>0</v>
      </c>
    </row>
    <row r="392" spans="1:8" ht="22.5" customHeight="1" x14ac:dyDescent="0.25">
      <c r="A392" s="61"/>
      <c r="B392" s="62"/>
      <c r="C392" s="3" t="s">
        <v>29</v>
      </c>
      <c r="D392" s="3" t="s">
        <v>513</v>
      </c>
      <c r="E392" s="4">
        <f>E393+E394+E395+E396</f>
        <v>0</v>
      </c>
      <c r="F392" s="4">
        <f>F393+F394+F395+F396</f>
        <v>0</v>
      </c>
      <c r="G392" s="4" t="s">
        <v>10</v>
      </c>
      <c r="H392" s="4">
        <f>H393+H394+H395+H396</f>
        <v>0</v>
      </c>
    </row>
    <row r="393" spans="1:8" ht="22.5" customHeight="1" x14ac:dyDescent="0.25">
      <c r="A393" s="61"/>
      <c r="B393" s="62"/>
      <c r="C393" s="5" t="s">
        <v>21</v>
      </c>
      <c r="D393" s="5" t="s">
        <v>513</v>
      </c>
      <c r="E393" s="6">
        <f>0</f>
        <v>0</v>
      </c>
      <c r="F393" s="6">
        <f>0</f>
        <v>0</v>
      </c>
      <c r="G393" s="6" t="s">
        <v>10</v>
      </c>
      <c r="H393" s="6">
        <f>0</f>
        <v>0</v>
      </c>
    </row>
    <row r="394" spans="1:8" ht="22.5" customHeight="1" x14ac:dyDescent="0.25">
      <c r="A394" s="61"/>
      <c r="B394" s="62"/>
      <c r="C394" s="5" t="s">
        <v>36</v>
      </c>
      <c r="D394" s="5" t="s">
        <v>514</v>
      </c>
      <c r="E394" s="6">
        <f>0</f>
        <v>0</v>
      </c>
      <c r="F394" s="6">
        <f>0</f>
        <v>0</v>
      </c>
      <c r="G394" s="6" t="s">
        <v>10</v>
      </c>
      <c r="H394" s="6">
        <f>0</f>
        <v>0</v>
      </c>
    </row>
    <row r="395" spans="1:8" ht="22.5" customHeight="1" x14ac:dyDescent="0.25">
      <c r="A395" s="61"/>
      <c r="B395" s="62"/>
      <c r="C395" s="5" t="s">
        <v>11</v>
      </c>
      <c r="D395" s="5" t="s">
        <v>515</v>
      </c>
      <c r="E395" s="6">
        <f>0</f>
        <v>0</v>
      </c>
      <c r="F395" s="6">
        <f>0</f>
        <v>0</v>
      </c>
      <c r="G395" s="6" t="s">
        <v>10</v>
      </c>
      <c r="H395" s="6">
        <f>0</f>
        <v>0</v>
      </c>
    </row>
    <row r="396" spans="1:8" ht="22.5" customHeight="1" x14ac:dyDescent="0.25">
      <c r="A396" s="61"/>
      <c r="B396" s="62"/>
      <c r="C396" s="5" t="s">
        <v>30</v>
      </c>
      <c r="D396" s="5" t="s">
        <v>516</v>
      </c>
      <c r="E396" s="6">
        <f>0</f>
        <v>0</v>
      </c>
      <c r="F396" s="6">
        <f>0</f>
        <v>0</v>
      </c>
      <c r="G396" s="6" t="s">
        <v>10</v>
      </c>
      <c r="H396" s="6">
        <f>0</f>
        <v>0</v>
      </c>
    </row>
    <row r="397" spans="1:8" ht="20.25" customHeight="1" thickBot="1" x14ac:dyDescent="0.3">
      <c r="A397" s="70" t="s">
        <v>18</v>
      </c>
      <c r="B397" s="71"/>
      <c r="C397" s="71"/>
      <c r="D397" s="72"/>
      <c r="E397" s="37">
        <f>E353+E379+E384+E392</f>
        <v>46796.259999999995</v>
      </c>
      <c r="F397" s="34">
        <f>F353+F379+F384+F392</f>
        <v>37822.409999999996</v>
      </c>
      <c r="G397" s="38" t="s">
        <v>796</v>
      </c>
      <c r="H397" s="34">
        <f>H353+H379+H384+H392</f>
        <v>37822.409999999996</v>
      </c>
    </row>
    <row r="398" spans="1:8" ht="22.5" customHeight="1" x14ac:dyDescent="0.25">
      <c r="A398" s="61">
        <v>12</v>
      </c>
      <c r="B398" s="75" t="s">
        <v>184</v>
      </c>
      <c r="C398" s="3" t="s">
        <v>8</v>
      </c>
      <c r="D398" s="3" t="s">
        <v>517</v>
      </c>
      <c r="E398" s="4">
        <f>E399+E403+E405</f>
        <v>64266.53</v>
      </c>
      <c r="F398" s="4">
        <f>F399+F403+F405</f>
        <v>44498.49</v>
      </c>
      <c r="G398" s="4" t="s">
        <v>768</v>
      </c>
      <c r="H398" s="4">
        <f>H399+H403+H405</f>
        <v>44498.49</v>
      </c>
    </row>
    <row r="399" spans="1:8" ht="17.25" customHeight="1" x14ac:dyDescent="0.25">
      <c r="A399" s="61"/>
      <c r="B399" s="76"/>
      <c r="C399" s="5" t="s">
        <v>36</v>
      </c>
      <c r="D399" s="5" t="s">
        <v>518</v>
      </c>
      <c r="E399" s="6">
        <f>E400+E401+E402</f>
        <v>38675.65</v>
      </c>
      <c r="F399" s="6">
        <f>F400+F401+F402</f>
        <v>27570.92</v>
      </c>
      <c r="G399" s="6" t="s">
        <v>723</v>
      </c>
      <c r="H399" s="6">
        <f>H400+H401+H402</f>
        <v>27570.92</v>
      </c>
    </row>
    <row r="400" spans="1:8" ht="24" x14ac:dyDescent="0.25">
      <c r="A400" s="61"/>
      <c r="B400" s="76"/>
      <c r="C400" s="7" t="s">
        <v>272</v>
      </c>
      <c r="D400" s="5" t="s">
        <v>519</v>
      </c>
      <c r="E400" s="6">
        <f>8325.65</f>
        <v>8325.65</v>
      </c>
      <c r="F400" s="6">
        <f>5716.6</f>
        <v>5716.6</v>
      </c>
      <c r="G400" s="6" t="s">
        <v>738</v>
      </c>
      <c r="H400" s="6">
        <f>5716.6</f>
        <v>5716.6</v>
      </c>
    </row>
    <row r="401" spans="1:8" ht="17.25" customHeight="1" x14ac:dyDescent="0.25">
      <c r="A401" s="61"/>
      <c r="B401" s="76"/>
      <c r="C401" s="7" t="s">
        <v>273</v>
      </c>
      <c r="D401" s="5" t="s">
        <v>520</v>
      </c>
      <c r="E401" s="6">
        <f>30000</f>
        <v>30000</v>
      </c>
      <c r="F401" s="6">
        <f>21854.32</f>
        <v>21854.32</v>
      </c>
      <c r="G401" s="6" t="s">
        <v>843</v>
      </c>
      <c r="H401" s="6">
        <f>21854.32</f>
        <v>21854.32</v>
      </c>
    </row>
    <row r="402" spans="1:8" ht="24" x14ac:dyDescent="0.25">
      <c r="A402" s="61"/>
      <c r="B402" s="76"/>
      <c r="C402" s="7" t="s">
        <v>274</v>
      </c>
      <c r="D402" s="5" t="s">
        <v>521</v>
      </c>
      <c r="E402" s="6">
        <f>350</f>
        <v>350</v>
      </c>
      <c r="F402" s="6">
        <f>0</f>
        <v>0</v>
      </c>
      <c r="G402" s="6" t="s">
        <v>47</v>
      </c>
      <c r="H402" s="6">
        <f>0</f>
        <v>0</v>
      </c>
    </row>
    <row r="403" spans="1:8" ht="18.75" customHeight="1" x14ac:dyDescent="0.25">
      <c r="A403" s="61"/>
      <c r="B403" s="76"/>
      <c r="C403" s="5" t="s">
        <v>11</v>
      </c>
      <c r="D403" s="5" t="s">
        <v>522</v>
      </c>
      <c r="E403" s="6">
        <f>E404</f>
        <v>2044</v>
      </c>
      <c r="F403" s="6">
        <f>F404</f>
        <v>1347.81</v>
      </c>
      <c r="G403" s="6" t="s">
        <v>748</v>
      </c>
      <c r="H403" s="6">
        <f>H404</f>
        <v>1347.81</v>
      </c>
    </row>
    <row r="404" spans="1:8" ht="18.75" customHeight="1" x14ac:dyDescent="0.25">
      <c r="A404" s="61"/>
      <c r="B404" s="76"/>
      <c r="C404" s="7" t="s">
        <v>256</v>
      </c>
      <c r="D404" s="5" t="s">
        <v>523</v>
      </c>
      <c r="E404" s="6">
        <f>2044</f>
        <v>2044</v>
      </c>
      <c r="F404" s="6">
        <f>1347.81</f>
        <v>1347.81</v>
      </c>
      <c r="G404" s="6" t="s">
        <v>748</v>
      </c>
      <c r="H404" s="6">
        <f>1347.81</f>
        <v>1347.81</v>
      </c>
    </row>
    <row r="405" spans="1:8" ht="18.75" customHeight="1" x14ac:dyDescent="0.25">
      <c r="A405" s="61"/>
      <c r="B405" s="76"/>
      <c r="C405" s="5" t="s">
        <v>175</v>
      </c>
      <c r="D405" s="5" t="s">
        <v>41</v>
      </c>
      <c r="E405" s="6">
        <f>E406</f>
        <v>23546.880000000001</v>
      </c>
      <c r="F405" s="6">
        <f>F406</f>
        <v>15579.76</v>
      </c>
      <c r="G405" s="6" t="s">
        <v>844</v>
      </c>
      <c r="H405" s="6">
        <f>H406</f>
        <v>15579.76</v>
      </c>
    </row>
    <row r="406" spans="1:8" ht="18.75" customHeight="1" x14ac:dyDescent="0.25">
      <c r="A406" s="61"/>
      <c r="B406" s="76"/>
      <c r="C406" s="7" t="s">
        <v>524</v>
      </c>
      <c r="D406" s="5" t="s">
        <v>525</v>
      </c>
      <c r="E406" s="6">
        <f>23546.88</f>
        <v>23546.880000000001</v>
      </c>
      <c r="F406" s="6">
        <f>15579.76</f>
        <v>15579.76</v>
      </c>
      <c r="G406" s="6" t="s">
        <v>844</v>
      </c>
      <c r="H406" s="6">
        <f>15579.76</f>
        <v>15579.76</v>
      </c>
    </row>
    <row r="407" spans="1:8" ht="21" customHeight="1" x14ac:dyDescent="0.25">
      <c r="A407" s="61"/>
      <c r="B407" s="76"/>
      <c r="C407" s="3" t="s">
        <v>25</v>
      </c>
      <c r="D407" s="3" t="s">
        <v>526</v>
      </c>
      <c r="E407" s="4">
        <f>E408</f>
        <v>100</v>
      </c>
      <c r="F407" s="4">
        <f>F408</f>
        <v>41.8</v>
      </c>
      <c r="G407" s="4" t="s">
        <v>527</v>
      </c>
      <c r="H407" s="4">
        <f>H408</f>
        <v>41.8</v>
      </c>
    </row>
    <row r="408" spans="1:8" ht="18.75" customHeight="1" x14ac:dyDescent="0.25">
      <c r="A408" s="61"/>
      <c r="B408" s="76"/>
      <c r="C408" s="5" t="s">
        <v>21</v>
      </c>
      <c r="D408" s="5" t="s">
        <v>528</v>
      </c>
      <c r="E408" s="6">
        <f>E409</f>
        <v>100</v>
      </c>
      <c r="F408" s="6">
        <f>F409</f>
        <v>41.8</v>
      </c>
      <c r="G408" s="6" t="s">
        <v>527</v>
      </c>
      <c r="H408" s="6">
        <f>H409</f>
        <v>41.8</v>
      </c>
    </row>
    <row r="409" spans="1:8" ht="24" x14ac:dyDescent="0.25">
      <c r="A409" s="61"/>
      <c r="B409" s="76"/>
      <c r="C409" s="7" t="s">
        <v>262</v>
      </c>
      <c r="D409" s="5" t="s">
        <v>529</v>
      </c>
      <c r="E409" s="6">
        <f>100</f>
        <v>100</v>
      </c>
      <c r="F409" s="6">
        <f>41.8</f>
        <v>41.8</v>
      </c>
      <c r="G409" s="6" t="s">
        <v>527</v>
      </c>
      <c r="H409" s="6">
        <f>41.8</f>
        <v>41.8</v>
      </c>
    </row>
    <row r="410" spans="1:8" ht="21" customHeight="1" x14ac:dyDescent="0.25">
      <c r="A410" s="61"/>
      <c r="B410" s="76"/>
      <c r="C410" s="3" t="s">
        <v>29</v>
      </c>
      <c r="D410" s="3" t="s">
        <v>530</v>
      </c>
      <c r="E410" s="4">
        <f>E411+E412+E413+E414</f>
        <v>0</v>
      </c>
      <c r="F410" s="4">
        <f>F411+F412+F413+F414</f>
        <v>0</v>
      </c>
      <c r="G410" s="4" t="s">
        <v>10</v>
      </c>
      <c r="H410" s="4">
        <f>H411+H412+H413+H414</f>
        <v>0</v>
      </c>
    </row>
    <row r="411" spans="1:8" x14ac:dyDescent="0.25">
      <c r="A411" s="61"/>
      <c r="B411" s="76"/>
      <c r="C411" s="5" t="s">
        <v>21</v>
      </c>
      <c r="D411" s="5" t="s">
        <v>531</v>
      </c>
      <c r="E411" s="6">
        <f>0</f>
        <v>0</v>
      </c>
      <c r="F411" s="6">
        <f>0</f>
        <v>0</v>
      </c>
      <c r="G411" s="6" t="s">
        <v>10</v>
      </c>
      <c r="H411" s="6">
        <f>0</f>
        <v>0</v>
      </c>
    </row>
    <row r="412" spans="1:8" ht="24" x14ac:dyDescent="0.25">
      <c r="A412" s="61"/>
      <c r="B412" s="76"/>
      <c r="C412" s="5" t="s">
        <v>30</v>
      </c>
      <c r="D412" s="5" t="s">
        <v>532</v>
      </c>
      <c r="E412" s="6">
        <f>0</f>
        <v>0</v>
      </c>
      <c r="F412" s="6">
        <f>0</f>
        <v>0</v>
      </c>
      <c r="G412" s="6" t="s">
        <v>10</v>
      </c>
      <c r="H412" s="6">
        <f>0</f>
        <v>0</v>
      </c>
    </row>
    <row r="413" spans="1:8" ht="19.5" customHeight="1" x14ac:dyDescent="0.25">
      <c r="A413" s="61"/>
      <c r="B413" s="76"/>
      <c r="C413" s="5" t="s">
        <v>91</v>
      </c>
      <c r="D413" s="5" t="s">
        <v>533</v>
      </c>
      <c r="E413" s="6">
        <f>0</f>
        <v>0</v>
      </c>
      <c r="F413" s="6">
        <f>0</f>
        <v>0</v>
      </c>
      <c r="G413" s="6" t="s">
        <v>10</v>
      </c>
      <c r="H413" s="6">
        <f>0</f>
        <v>0</v>
      </c>
    </row>
    <row r="414" spans="1:8" x14ac:dyDescent="0.25">
      <c r="A414" s="61"/>
      <c r="B414" s="76"/>
      <c r="C414" s="5" t="s">
        <v>175</v>
      </c>
      <c r="D414" s="5" t="s">
        <v>534</v>
      </c>
      <c r="E414" s="6">
        <f>0</f>
        <v>0</v>
      </c>
      <c r="F414" s="6">
        <f>0</f>
        <v>0</v>
      </c>
      <c r="G414" s="6" t="s">
        <v>10</v>
      </c>
      <c r="H414" s="6">
        <f>0</f>
        <v>0</v>
      </c>
    </row>
    <row r="415" spans="1:8" ht="19.5" customHeight="1" x14ac:dyDescent="0.25">
      <c r="A415" s="61"/>
      <c r="B415" s="76"/>
      <c r="C415" s="3" t="s">
        <v>13</v>
      </c>
      <c r="D415" s="3" t="s">
        <v>40</v>
      </c>
      <c r="E415" s="4">
        <f>E416</f>
        <v>414429.72</v>
      </c>
      <c r="F415" s="4">
        <f>F416</f>
        <v>285391.71999999997</v>
      </c>
      <c r="G415" s="4" t="s">
        <v>845</v>
      </c>
      <c r="H415" s="4">
        <f>H416</f>
        <v>285391.71999999997</v>
      </c>
    </row>
    <row r="416" spans="1:8" x14ac:dyDescent="0.25">
      <c r="A416" s="61"/>
      <c r="B416" s="76"/>
      <c r="C416" s="5" t="s">
        <v>21</v>
      </c>
      <c r="D416" s="5" t="s">
        <v>41</v>
      </c>
      <c r="E416" s="6">
        <f>E417+E418+E419+E420+E421</f>
        <v>414429.72</v>
      </c>
      <c r="F416" s="6">
        <f>F417+F418+F419+F420+F421</f>
        <v>285391.71999999997</v>
      </c>
      <c r="G416" s="6" t="s">
        <v>845</v>
      </c>
      <c r="H416" s="6">
        <f>H417+H418+H419+H420+H421</f>
        <v>285391.71999999997</v>
      </c>
    </row>
    <row r="417" spans="1:8" ht="21" customHeight="1" x14ac:dyDescent="0.25">
      <c r="A417" s="61"/>
      <c r="B417" s="76"/>
      <c r="C417" s="7" t="s">
        <v>262</v>
      </c>
      <c r="D417" s="5" t="s">
        <v>535</v>
      </c>
      <c r="E417" s="6">
        <f>208665.96+4058.52</f>
        <v>212724.47999999998</v>
      </c>
      <c r="F417" s="6">
        <f>146363.86+2932.82</f>
        <v>149296.68</v>
      </c>
      <c r="G417" s="6" t="s">
        <v>846</v>
      </c>
      <c r="H417" s="6">
        <f>146363.86+2932.82</f>
        <v>149296.68</v>
      </c>
    </row>
    <row r="418" spans="1:8" ht="19.5" customHeight="1" x14ac:dyDescent="0.25">
      <c r="A418" s="61"/>
      <c r="B418" s="76"/>
      <c r="C418" s="7" t="s">
        <v>267</v>
      </c>
      <c r="D418" s="5" t="s">
        <v>536</v>
      </c>
      <c r="E418" s="6">
        <f>26852.54</f>
        <v>26852.54</v>
      </c>
      <c r="F418" s="6">
        <f>18486.78</f>
        <v>18486.78</v>
      </c>
      <c r="G418" s="6" t="s">
        <v>845</v>
      </c>
      <c r="H418" s="6">
        <f>18486.78</f>
        <v>18486.78</v>
      </c>
    </row>
    <row r="419" spans="1:8" ht="19.5" customHeight="1" x14ac:dyDescent="0.25">
      <c r="A419" s="61"/>
      <c r="B419" s="76"/>
      <c r="C419" s="7" t="s">
        <v>283</v>
      </c>
      <c r="D419" s="5" t="s">
        <v>537</v>
      </c>
      <c r="E419" s="6">
        <f>77597.54</f>
        <v>77597.539999999994</v>
      </c>
      <c r="F419" s="6">
        <f>53390.84</f>
        <v>53390.84</v>
      </c>
      <c r="G419" s="6" t="s">
        <v>845</v>
      </c>
      <c r="H419" s="6">
        <f>53390.84</f>
        <v>53390.84</v>
      </c>
    </row>
    <row r="420" spans="1:8" ht="19.5" customHeight="1" x14ac:dyDescent="0.25">
      <c r="A420" s="61"/>
      <c r="B420" s="76"/>
      <c r="C420" s="7" t="s">
        <v>284</v>
      </c>
      <c r="D420" s="5" t="s">
        <v>539</v>
      </c>
      <c r="E420" s="6">
        <f>96595.48</f>
        <v>96595.48</v>
      </c>
      <c r="F420" s="6">
        <f>63653.74</f>
        <v>63653.74</v>
      </c>
      <c r="G420" s="6" t="s">
        <v>748</v>
      </c>
      <c r="H420" s="6">
        <f>63653.74</f>
        <v>63653.74</v>
      </c>
    </row>
    <row r="421" spans="1:8" ht="19.5" customHeight="1" x14ac:dyDescent="0.25">
      <c r="A421" s="61"/>
      <c r="B421" s="76"/>
      <c r="C421" s="7" t="s">
        <v>332</v>
      </c>
      <c r="D421" s="5" t="s">
        <v>540</v>
      </c>
      <c r="E421" s="6">
        <f>659.68</f>
        <v>659.68</v>
      </c>
      <c r="F421" s="6">
        <f>563.68</f>
        <v>563.67999999999995</v>
      </c>
      <c r="G421" s="6" t="s">
        <v>847</v>
      </c>
      <c r="H421" s="6">
        <f>563.68</f>
        <v>563.67999999999995</v>
      </c>
    </row>
    <row r="422" spans="1:8" ht="20.25" customHeight="1" thickBot="1" x14ac:dyDescent="0.3">
      <c r="A422" s="70" t="s">
        <v>18</v>
      </c>
      <c r="B422" s="71"/>
      <c r="C422" s="71"/>
      <c r="D422" s="72"/>
      <c r="E422" s="37">
        <f>E398+E407+E410+E415</f>
        <v>478796.25</v>
      </c>
      <c r="F422" s="34">
        <f>F398+F407+F410+F415</f>
        <v>329932.00999999995</v>
      </c>
      <c r="G422" s="34" t="s">
        <v>848</v>
      </c>
      <c r="H422" s="34">
        <f>H398+H407+H410+H415</f>
        <v>329932.00999999995</v>
      </c>
    </row>
    <row r="423" spans="1:8" ht="24" x14ac:dyDescent="0.25">
      <c r="A423" s="53">
        <v>13</v>
      </c>
      <c r="B423" s="68" t="s">
        <v>185</v>
      </c>
      <c r="C423" s="3" t="s">
        <v>8</v>
      </c>
      <c r="D423" s="3" t="s">
        <v>542</v>
      </c>
      <c r="E423" s="4">
        <f>E424+E432+E435</f>
        <v>61935.969999999994</v>
      </c>
      <c r="F423" s="4">
        <f>F424+F432+F435</f>
        <v>37068.959999999999</v>
      </c>
      <c r="G423" s="4" t="s">
        <v>849</v>
      </c>
      <c r="H423" s="4">
        <f>H424+H432+H435</f>
        <v>37068.959999999999</v>
      </c>
    </row>
    <row r="424" spans="1:8" ht="21.75" customHeight="1" x14ac:dyDescent="0.25">
      <c r="A424" s="54"/>
      <c r="B424" s="69"/>
      <c r="C424" s="5" t="s">
        <v>21</v>
      </c>
      <c r="D424" s="5" t="s">
        <v>543</v>
      </c>
      <c r="E424" s="6">
        <f>E425+E426+E427+E428+E429+E430+E431</f>
        <v>56910.779999999992</v>
      </c>
      <c r="F424" s="6">
        <f>F425+F426+F427+F428+F429+F430+F431</f>
        <v>34773.72</v>
      </c>
      <c r="G424" s="6" t="s">
        <v>850</v>
      </c>
      <c r="H424" s="6">
        <f>H425+H426+H427+H428+H429+H430+H431</f>
        <v>34773.72</v>
      </c>
    </row>
    <row r="425" spans="1:8" ht="24" x14ac:dyDescent="0.25">
      <c r="A425" s="54"/>
      <c r="B425" s="69"/>
      <c r="C425" s="7" t="s">
        <v>258</v>
      </c>
      <c r="D425" s="5" t="s">
        <v>544</v>
      </c>
      <c r="E425" s="6">
        <f>6306.2</f>
        <v>6306.2</v>
      </c>
      <c r="F425" s="6">
        <f>4029.02</f>
        <v>4029.02</v>
      </c>
      <c r="G425" s="6" t="s">
        <v>741</v>
      </c>
      <c r="H425" s="6">
        <f>4029.02</f>
        <v>4029.02</v>
      </c>
    </row>
    <row r="426" spans="1:8" ht="24" x14ac:dyDescent="0.25">
      <c r="A426" s="54"/>
      <c r="B426" s="69"/>
      <c r="C426" s="7" t="s">
        <v>262</v>
      </c>
      <c r="D426" s="5" t="s">
        <v>545</v>
      </c>
      <c r="E426" s="6">
        <f>0</f>
        <v>0</v>
      </c>
      <c r="F426" s="6">
        <f>0</f>
        <v>0</v>
      </c>
      <c r="G426" s="6" t="s">
        <v>10</v>
      </c>
      <c r="H426" s="6">
        <f>0</f>
        <v>0</v>
      </c>
    </row>
    <row r="427" spans="1:8" ht="26.25" customHeight="1" x14ac:dyDescent="0.25">
      <c r="A427" s="54"/>
      <c r="B427" s="69"/>
      <c r="C427" s="7" t="s">
        <v>271</v>
      </c>
      <c r="D427" s="5" t="s">
        <v>546</v>
      </c>
      <c r="E427" s="6">
        <f>42376.02</f>
        <v>42376.02</v>
      </c>
      <c r="F427" s="6">
        <f>26964.13</f>
        <v>26964.13</v>
      </c>
      <c r="G427" s="6" t="s">
        <v>735</v>
      </c>
      <c r="H427" s="6">
        <f>26964.13</f>
        <v>26964.13</v>
      </c>
    </row>
    <row r="428" spans="1:8" ht="36" x14ac:dyDescent="0.25">
      <c r="A428" s="54"/>
      <c r="B428" s="69"/>
      <c r="C428" s="7" t="s">
        <v>266</v>
      </c>
      <c r="D428" s="5" t="s">
        <v>547</v>
      </c>
      <c r="E428" s="6">
        <f>3055</f>
        <v>3055</v>
      </c>
      <c r="F428" s="6">
        <f>946.87</f>
        <v>946.87</v>
      </c>
      <c r="G428" s="6" t="s">
        <v>851</v>
      </c>
      <c r="H428" s="6">
        <f>946.87</f>
        <v>946.87</v>
      </c>
    </row>
    <row r="429" spans="1:8" ht="48" x14ac:dyDescent="0.25">
      <c r="A429" s="54"/>
      <c r="B429" s="69"/>
      <c r="C429" s="7" t="s">
        <v>267</v>
      </c>
      <c r="D429" s="5" t="s">
        <v>548</v>
      </c>
      <c r="E429" s="6">
        <f>4448.16</f>
        <v>4448.16</v>
      </c>
      <c r="F429" s="6">
        <f>2411.12</f>
        <v>2411.12</v>
      </c>
      <c r="G429" s="6" t="s">
        <v>852</v>
      </c>
      <c r="H429" s="6">
        <f>2411.12</f>
        <v>2411.12</v>
      </c>
    </row>
    <row r="430" spans="1:8" ht="24" x14ac:dyDescent="0.25">
      <c r="A430" s="54"/>
      <c r="B430" s="69"/>
      <c r="C430" s="7" t="s">
        <v>283</v>
      </c>
      <c r="D430" s="5" t="s">
        <v>549</v>
      </c>
      <c r="E430" s="6">
        <f>725.4</f>
        <v>725.4</v>
      </c>
      <c r="F430" s="6">
        <f>422.58</f>
        <v>422.58</v>
      </c>
      <c r="G430" s="6" t="s">
        <v>853</v>
      </c>
      <c r="H430" s="6">
        <f>422.58</f>
        <v>422.58</v>
      </c>
    </row>
    <row r="431" spans="1:8" x14ac:dyDescent="0.25">
      <c r="A431" s="54"/>
      <c r="B431" s="69"/>
      <c r="C431" s="7" t="s">
        <v>284</v>
      </c>
      <c r="D431" s="5" t="s">
        <v>550</v>
      </c>
      <c r="E431" s="6">
        <f>0</f>
        <v>0</v>
      </c>
      <c r="F431" s="6">
        <f>0</f>
        <v>0</v>
      </c>
      <c r="G431" s="6" t="s">
        <v>10</v>
      </c>
      <c r="H431" s="6">
        <f>0</f>
        <v>0</v>
      </c>
    </row>
    <row r="432" spans="1:8" ht="36" x14ac:dyDescent="0.25">
      <c r="A432" s="54"/>
      <c r="B432" s="69"/>
      <c r="C432" s="5" t="s">
        <v>36</v>
      </c>
      <c r="D432" s="5" t="s">
        <v>551</v>
      </c>
      <c r="E432" s="6">
        <f>E433+E434</f>
        <v>360</v>
      </c>
      <c r="F432" s="6">
        <f>F433+F434</f>
        <v>134</v>
      </c>
      <c r="G432" s="6" t="s">
        <v>541</v>
      </c>
      <c r="H432" s="6">
        <f>H433+H434</f>
        <v>134</v>
      </c>
    </row>
    <row r="433" spans="1:8" ht="24" x14ac:dyDescent="0.25">
      <c r="A433" s="54"/>
      <c r="B433" s="69"/>
      <c r="C433" s="7" t="s">
        <v>272</v>
      </c>
      <c r="D433" s="5" t="s">
        <v>552</v>
      </c>
      <c r="E433" s="6">
        <f>0</f>
        <v>0</v>
      </c>
      <c r="F433" s="6">
        <f>0</f>
        <v>0</v>
      </c>
      <c r="G433" s="6" t="s">
        <v>10</v>
      </c>
      <c r="H433" s="6">
        <f>0</f>
        <v>0</v>
      </c>
    </row>
    <row r="434" spans="1:8" ht="24" x14ac:dyDescent="0.25">
      <c r="A434" s="54"/>
      <c r="B434" s="69"/>
      <c r="C434" s="7" t="s">
        <v>273</v>
      </c>
      <c r="D434" s="5" t="s">
        <v>553</v>
      </c>
      <c r="E434" s="6">
        <f>360</f>
        <v>360</v>
      </c>
      <c r="F434" s="6">
        <f>134</f>
        <v>134</v>
      </c>
      <c r="G434" s="6" t="s">
        <v>541</v>
      </c>
      <c r="H434" s="6">
        <f>134</f>
        <v>134</v>
      </c>
    </row>
    <row r="435" spans="1:8" ht="18" customHeight="1" x14ac:dyDescent="0.25">
      <c r="A435" s="54"/>
      <c r="B435" s="69"/>
      <c r="C435" s="5" t="s">
        <v>175</v>
      </c>
      <c r="D435" s="5" t="s">
        <v>554</v>
      </c>
      <c r="E435" s="6">
        <f>E436+E437+E438+E439</f>
        <v>4665.1899999999996</v>
      </c>
      <c r="F435" s="6">
        <f>F436+F437+F438+F439</f>
        <v>2161.2400000000002</v>
      </c>
      <c r="G435" s="6" t="s">
        <v>854</v>
      </c>
      <c r="H435" s="6">
        <f>H436+H437+H438+H439</f>
        <v>2161.2400000000002</v>
      </c>
    </row>
    <row r="436" spans="1:8" ht="36" x14ac:dyDescent="0.25">
      <c r="A436" s="54"/>
      <c r="B436" s="69"/>
      <c r="C436" s="7" t="s">
        <v>524</v>
      </c>
      <c r="D436" s="5" t="s">
        <v>555</v>
      </c>
      <c r="E436" s="6">
        <f>1254.77</f>
        <v>1254.77</v>
      </c>
      <c r="F436" s="6">
        <f>288.21</f>
        <v>288.20999999999998</v>
      </c>
      <c r="G436" s="6" t="s">
        <v>855</v>
      </c>
      <c r="H436" s="6">
        <f>288.21</f>
        <v>288.20999999999998</v>
      </c>
    </row>
    <row r="437" spans="1:8" ht="48" x14ac:dyDescent="0.25">
      <c r="A437" s="54"/>
      <c r="B437" s="69"/>
      <c r="C437" s="7" t="s">
        <v>556</v>
      </c>
      <c r="D437" s="5" t="s">
        <v>557</v>
      </c>
      <c r="E437" s="6">
        <f>2668.22</f>
        <v>2668.22</v>
      </c>
      <c r="F437" s="6">
        <f>1536.13</f>
        <v>1536.13</v>
      </c>
      <c r="G437" s="6" t="s">
        <v>856</v>
      </c>
      <c r="H437" s="6">
        <f>1536.13</f>
        <v>1536.13</v>
      </c>
    </row>
    <row r="438" spans="1:8" ht="24" customHeight="1" x14ac:dyDescent="0.25">
      <c r="A438" s="54"/>
      <c r="B438" s="69"/>
      <c r="C438" s="7" t="s">
        <v>559</v>
      </c>
      <c r="D438" s="5" t="s">
        <v>560</v>
      </c>
      <c r="E438" s="6">
        <f>742.2</f>
        <v>742.2</v>
      </c>
      <c r="F438" s="6">
        <f>336.9</f>
        <v>336.9</v>
      </c>
      <c r="G438" s="6" t="s">
        <v>415</v>
      </c>
      <c r="H438" s="6">
        <f>336.9</f>
        <v>336.9</v>
      </c>
    </row>
    <row r="439" spans="1:8" ht="24" x14ac:dyDescent="0.25">
      <c r="A439" s="54"/>
      <c r="B439" s="69"/>
      <c r="C439" s="7" t="s">
        <v>561</v>
      </c>
      <c r="D439" s="5" t="s">
        <v>562</v>
      </c>
      <c r="E439" s="6">
        <f>0</f>
        <v>0</v>
      </c>
      <c r="F439" s="6">
        <f>0</f>
        <v>0</v>
      </c>
      <c r="G439" s="6" t="s">
        <v>10</v>
      </c>
      <c r="H439" s="6">
        <f>0</f>
        <v>0</v>
      </c>
    </row>
    <row r="440" spans="1:8" ht="20.25" customHeight="1" x14ac:dyDescent="0.25">
      <c r="A440" s="54"/>
      <c r="B440" s="69"/>
      <c r="C440" s="3" t="s">
        <v>25</v>
      </c>
      <c r="D440" s="3" t="s">
        <v>563</v>
      </c>
      <c r="E440" s="4">
        <f>E441</f>
        <v>6000</v>
      </c>
      <c r="F440" s="4">
        <f>F441</f>
        <v>0</v>
      </c>
      <c r="G440" s="4" t="s">
        <v>47</v>
      </c>
      <c r="H440" s="4">
        <f>H441</f>
        <v>0</v>
      </c>
    </row>
    <row r="441" spans="1:8" x14ac:dyDescent="0.25">
      <c r="A441" s="54"/>
      <c r="B441" s="69"/>
      <c r="C441" s="5" t="s">
        <v>175</v>
      </c>
      <c r="D441" s="5" t="s">
        <v>564</v>
      </c>
      <c r="E441" s="6">
        <f>E442</f>
        <v>6000</v>
      </c>
      <c r="F441" s="6">
        <f>F442</f>
        <v>0</v>
      </c>
      <c r="G441" s="6" t="s">
        <v>47</v>
      </c>
      <c r="H441" s="6">
        <f>H442</f>
        <v>0</v>
      </c>
    </row>
    <row r="442" spans="1:8" ht="18" customHeight="1" x14ac:dyDescent="0.25">
      <c r="A442" s="54"/>
      <c r="B442" s="69"/>
      <c r="C442" s="7" t="s">
        <v>524</v>
      </c>
      <c r="D442" s="5" t="s">
        <v>565</v>
      </c>
      <c r="E442" s="6">
        <f>6000</f>
        <v>6000</v>
      </c>
      <c r="F442" s="6">
        <f>0</f>
        <v>0</v>
      </c>
      <c r="G442" s="6" t="s">
        <v>47</v>
      </c>
      <c r="H442" s="6">
        <f>0</f>
        <v>0</v>
      </c>
    </row>
    <row r="443" spans="1:8" ht="20.25" customHeight="1" x14ac:dyDescent="0.25">
      <c r="A443" s="54"/>
      <c r="B443" s="69"/>
      <c r="C443" s="3" t="s">
        <v>29</v>
      </c>
      <c r="D443" s="3" t="s">
        <v>566</v>
      </c>
      <c r="E443" s="4">
        <f>E444+E450</f>
        <v>12368.22</v>
      </c>
      <c r="F443" s="4">
        <f>F444+F450</f>
        <v>11615.31</v>
      </c>
      <c r="G443" s="4" t="s">
        <v>857</v>
      </c>
      <c r="H443" s="4">
        <f>H444+H450</f>
        <v>11615.31</v>
      </c>
    </row>
    <row r="444" spans="1:8" ht="24" x14ac:dyDescent="0.25">
      <c r="A444" s="54"/>
      <c r="B444" s="69"/>
      <c r="C444" s="5" t="s">
        <v>21</v>
      </c>
      <c r="D444" s="5" t="s">
        <v>567</v>
      </c>
      <c r="E444" s="6">
        <f>E445+E446+E447+E448+E449</f>
        <v>12368.22</v>
      </c>
      <c r="F444" s="6">
        <f>F445+F446+F447+F448+F449</f>
        <v>11615.31</v>
      </c>
      <c r="G444" s="6" t="s">
        <v>857</v>
      </c>
      <c r="H444" s="6">
        <f>H445+H446+H447+H448+H449</f>
        <v>11615.31</v>
      </c>
    </row>
    <row r="445" spans="1:8" ht="23.25" customHeight="1" x14ac:dyDescent="0.25">
      <c r="A445" s="54"/>
      <c r="B445" s="69"/>
      <c r="C445" s="7" t="s">
        <v>258</v>
      </c>
      <c r="D445" s="5" t="s">
        <v>568</v>
      </c>
      <c r="E445" s="6">
        <f>725.65</f>
        <v>725.65</v>
      </c>
      <c r="F445" s="6">
        <f>725.65</f>
        <v>725.65</v>
      </c>
      <c r="G445" s="6" t="s">
        <v>282</v>
      </c>
      <c r="H445" s="6">
        <f>725.65</f>
        <v>725.65</v>
      </c>
    </row>
    <row r="446" spans="1:8" ht="24" x14ac:dyDescent="0.25">
      <c r="A446" s="54"/>
      <c r="B446" s="69"/>
      <c r="C446" s="7" t="s">
        <v>262</v>
      </c>
      <c r="D446" s="5" t="s">
        <v>569</v>
      </c>
      <c r="E446" s="6">
        <f>0</f>
        <v>0</v>
      </c>
      <c r="F446" s="6">
        <f>0</f>
        <v>0</v>
      </c>
      <c r="G446" s="6" t="s">
        <v>10</v>
      </c>
      <c r="H446" s="6">
        <f>0</f>
        <v>0</v>
      </c>
    </row>
    <row r="447" spans="1:8" x14ac:dyDescent="0.25">
      <c r="A447" s="54"/>
      <c r="B447" s="69"/>
      <c r="C447" s="7" t="s">
        <v>271</v>
      </c>
      <c r="D447" s="5" t="s">
        <v>570</v>
      </c>
      <c r="E447" s="6">
        <f>0</f>
        <v>0</v>
      </c>
      <c r="F447" s="6">
        <f>0</f>
        <v>0</v>
      </c>
      <c r="G447" s="6" t="s">
        <v>10</v>
      </c>
      <c r="H447" s="6">
        <f>0</f>
        <v>0</v>
      </c>
    </row>
    <row r="448" spans="1:8" ht="24" x14ac:dyDescent="0.25">
      <c r="A448" s="54"/>
      <c r="B448" s="69"/>
      <c r="C448" s="7" t="s">
        <v>266</v>
      </c>
      <c r="D448" s="5" t="s">
        <v>571</v>
      </c>
      <c r="E448" s="6">
        <f>0</f>
        <v>0</v>
      </c>
      <c r="F448" s="6">
        <f>0</f>
        <v>0</v>
      </c>
      <c r="G448" s="6" t="s">
        <v>10</v>
      </c>
      <c r="H448" s="6">
        <f>0</f>
        <v>0</v>
      </c>
    </row>
    <row r="449" spans="1:8" x14ac:dyDescent="0.25">
      <c r="A449" s="54"/>
      <c r="B449" s="69"/>
      <c r="C449" s="7" t="s">
        <v>267</v>
      </c>
      <c r="D449" s="5" t="s">
        <v>572</v>
      </c>
      <c r="E449" s="6">
        <f>950+10692.57</f>
        <v>11642.57</v>
      </c>
      <c r="F449" s="6">
        <f>950+9939.66</f>
        <v>10889.66</v>
      </c>
      <c r="G449" s="6" t="s">
        <v>858</v>
      </c>
      <c r="H449" s="6">
        <f>950+9939.66</f>
        <v>10889.66</v>
      </c>
    </row>
    <row r="450" spans="1:8" x14ac:dyDescent="0.25">
      <c r="A450" s="54"/>
      <c r="B450" s="69"/>
      <c r="C450" s="5" t="s">
        <v>573</v>
      </c>
      <c r="D450" s="5" t="s">
        <v>574</v>
      </c>
      <c r="E450" s="6">
        <f>0</f>
        <v>0</v>
      </c>
      <c r="F450" s="6">
        <f>0</f>
        <v>0</v>
      </c>
      <c r="G450" s="6" t="s">
        <v>10</v>
      </c>
      <c r="H450" s="6">
        <f>0</f>
        <v>0</v>
      </c>
    </row>
    <row r="451" spans="1:8" ht="21" customHeight="1" x14ac:dyDescent="0.25">
      <c r="A451" s="54"/>
      <c r="B451" s="69"/>
      <c r="C451" s="3" t="s">
        <v>13</v>
      </c>
      <c r="D451" s="3" t="s">
        <v>40</v>
      </c>
      <c r="E451" s="4">
        <f>E452+E454+E456</f>
        <v>8426</v>
      </c>
      <c r="F451" s="4">
        <f>F452+F454+F456</f>
        <v>5263.6200000000008</v>
      </c>
      <c r="G451" s="4" t="s">
        <v>859</v>
      </c>
      <c r="H451" s="4">
        <f>H452+H454+H456</f>
        <v>5263.6200000000008</v>
      </c>
    </row>
    <row r="452" spans="1:8" ht="18" customHeight="1" x14ac:dyDescent="0.25">
      <c r="A452" s="54"/>
      <c r="B452" s="69"/>
      <c r="C452" s="5" t="s">
        <v>11</v>
      </c>
      <c r="D452" s="5" t="s">
        <v>575</v>
      </c>
      <c r="E452" s="6">
        <f>E453</f>
        <v>7480</v>
      </c>
      <c r="F452" s="6">
        <f>F453</f>
        <v>4795.3500000000004</v>
      </c>
      <c r="G452" s="6" t="s">
        <v>720</v>
      </c>
      <c r="H452" s="6">
        <f>H453</f>
        <v>4795.3500000000004</v>
      </c>
    </row>
    <row r="453" spans="1:8" ht="18" customHeight="1" x14ac:dyDescent="0.25">
      <c r="A453" s="54"/>
      <c r="B453" s="69"/>
      <c r="C453" s="7" t="s">
        <v>256</v>
      </c>
      <c r="D453" s="5" t="s">
        <v>575</v>
      </c>
      <c r="E453" s="6">
        <f>7480</f>
        <v>7480</v>
      </c>
      <c r="F453" s="6">
        <f>4795.35</f>
        <v>4795.3500000000004</v>
      </c>
      <c r="G453" s="6" t="s">
        <v>720</v>
      </c>
      <c r="H453" s="6">
        <f>4795.35</f>
        <v>4795.3500000000004</v>
      </c>
    </row>
    <row r="454" spans="1:8" ht="21.75" customHeight="1" x14ac:dyDescent="0.25">
      <c r="A454" s="54"/>
      <c r="B454" s="69"/>
      <c r="C454" s="5" t="s">
        <v>90</v>
      </c>
      <c r="D454" s="5" t="s">
        <v>576</v>
      </c>
      <c r="E454" s="6">
        <f>E455</f>
        <v>946</v>
      </c>
      <c r="F454" s="6">
        <f>F455</f>
        <v>468.27</v>
      </c>
      <c r="G454" s="6" t="s">
        <v>577</v>
      </c>
      <c r="H454" s="6">
        <f>H455</f>
        <v>468.27</v>
      </c>
    </row>
    <row r="455" spans="1:8" ht="24" x14ac:dyDescent="0.25">
      <c r="A455" s="54"/>
      <c r="B455" s="69"/>
      <c r="C455" s="7" t="s">
        <v>458</v>
      </c>
      <c r="D455" s="5" t="s">
        <v>578</v>
      </c>
      <c r="E455" s="6">
        <f>946</f>
        <v>946</v>
      </c>
      <c r="F455" s="6">
        <f>468.27</f>
        <v>468.27</v>
      </c>
      <c r="G455" s="6" t="s">
        <v>577</v>
      </c>
      <c r="H455" s="6">
        <f>468.27</f>
        <v>468.27</v>
      </c>
    </row>
    <row r="456" spans="1:8" ht="15.75" customHeight="1" x14ac:dyDescent="0.25">
      <c r="A456" s="54"/>
      <c r="B456" s="69"/>
      <c r="C456" s="5" t="s">
        <v>91</v>
      </c>
      <c r="D456" s="5" t="s">
        <v>579</v>
      </c>
      <c r="E456" s="6">
        <f>0</f>
        <v>0</v>
      </c>
      <c r="F456" s="6">
        <f>0</f>
        <v>0</v>
      </c>
      <c r="G456" s="6" t="s">
        <v>10</v>
      </c>
      <c r="H456" s="6">
        <f>0</f>
        <v>0</v>
      </c>
    </row>
    <row r="457" spans="1:8" ht="20.25" customHeight="1" thickBot="1" x14ac:dyDescent="0.3">
      <c r="A457" s="59" t="s">
        <v>18</v>
      </c>
      <c r="B457" s="60"/>
      <c r="C457" s="60"/>
      <c r="D457" s="60"/>
      <c r="E457" s="37">
        <f>E423+E440+E443+E451</f>
        <v>88730.19</v>
      </c>
      <c r="F457" s="34">
        <f>F423+F440+F443+F451</f>
        <v>53947.89</v>
      </c>
      <c r="G457" s="38" t="s">
        <v>860</v>
      </c>
      <c r="H457" s="34">
        <f>H423+H440+H443+H451</f>
        <v>53947.89</v>
      </c>
    </row>
    <row r="458" spans="1:8" ht="21" customHeight="1" x14ac:dyDescent="0.25">
      <c r="A458" s="77">
        <v>14</v>
      </c>
      <c r="B458" s="78" t="s">
        <v>186</v>
      </c>
      <c r="C458" s="3" t="s">
        <v>8</v>
      </c>
      <c r="D458" s="3" t="s">
        <v>580</v>
      </c>
      <c r="E458" s="4">
        <f>E459</f>
        <v>283211.52999999997</v>
      </c>
      <c r="F458" s="4">
        <f>F459</f>
        <v>0</v>
      </c>
      <c r="G458" s="4" t="s">
        <v>47</v>
      </c>
      <c r="H458" s="4">
        <f>H459</f>
        <v>0</v>
      </c>
    </row>
    <row r="459" spans="1:8" ht="18" customHeight="1" x14ac:dyDescent="0.25">
      <c r="A459" s="67"/>
      <c r="B459" s="69"/>
      <c r="C459" s="5" t="s">
        <v>36</v>
      </c>
      <c r="D459" s="5" t="s">
        <v>581</v>
      </c>
      <c r="E459" s="6">
        <f>E460+E461+E462+E463+E464</f>
        <v>283211.52999999997</v>
      </c>
      <c r="F459" s="6">
        <f>F460+F461+F462+F463+F464</f>
        <v>0</v>
      </c>
      <c r="G459" s="6" t="s">
        <v>47</v>
      </c>
      <c r="H459" s="6">
        <f>H460+H461+H462+H463+H464</f>
        <v>0</v>
      </c>
    </row>
    <row r="460" spans="1:8" ht="36" x14ac:dyDescent="0.25">
      <c r="A460" s="67"/>
      <c r="B460" s="69"/>
      <c r="C460" s="7" t="s">
        <v>272</v>
      </c>
      <c r="D460" s="5" t="s">
        <v>582</v>
      </c>
      <c r="E460" s="6">
        <f>0</f>
        <v>0</v>
      </c>
      <c r="F460" s="6">
        <f>0</f>
        <v>0</v>
      </c>
      <c r="G460" s="6" t="s">
        <v>10</v>
      </c>
      <c r="H460" s="6">
        <f>0</f>
        <v>0</v>
      </c>
    </row>
    <row r="461" spans="1:8" ht="36" x14ac:dyDescent="0.25">
      <c r="A461" s="67"/>
      <c r="B461" s="69"/>
      <c r="C461" s="7" t="s">
        <v>273</v>
      </c>
      <c r="D461" s="5" t="s">
        <v>583</v>
      </c>
      <c r="E461" s="6">
        <f>0</f>
        <v>0</v>
      </c>
      <c r="F461" s="6">
        <f>0</f>
        <v>0</v>
      </c>
      <c r="G461" s="6" t="s">
        <v>10</v>
      </c>
      <c r="H461" s="6">
        <f>0</f>
        <v>0</v>
      </c>
    </row>
    <row r="462" spans="1:8" ht="23.25" customHeight="1" x14ac:dyDescent="0.25">
      <c r="A462" s="67"/>
      <c r="B462" s="69"/>
      <c r="C462" s="7" t="s">
        <v>274</v>
      </c>
      <c r="D462" s="5" t="s">
        <v>584</v>
      </c>
      <c r="E462" s="6">
        <f>0</f>
        <v>0</v>
      </c>
      <c r="F462" s="6">
        <f>0</f>
        <v>0</v>
      </c>
      <c r="G462" s="6" t="s">
        <v>10</v>
      </c>
      <c r="H462" s="6">
        <f>0</f>
        <v>0</v>
      </c>
    </row>
    <row r="463" spans="1:8" ht="24" x14ac:dyDescent="0.25">
      <c r="A463" s="67"/>
      <c r="B463" s="69"/>
      <c r="C463" s="7" t="s">
        <v>275</v>
      </c>
      <c r="D463" s="5" t="s">
        <v>585</v>
      </c>
      <c r="E463" s="6">
        <f>0</f>
        <v>0</v>
      </c>
      <c r="F463" s="6">
        <f>0</f>
        <v>0</v>
      </c>
      <c r="G463" s="6" t="s">
        <v>10</v>
      </c>
      <c r="H463" s="6">
        <f>0</f>
        <v>0</v>
      </c>
    </row>
    <row r="464" spans="1:8" x14ac:dyDescent="0.25">
      <c r="A464" s="67"/>
      <c r="B464" s="69"/>
      <c r="C464" s="7" t="s">
        <v>586</v>
      </c>
      <c r="D464" s="5" t="s">
        <v>587</v>
      </c>
      <c r="E464" s="6">
        <f>214957.55+68253.98</f>
        <v>283211.52999999997</v>
      </c>
      <c r="F464" s="6">
        <f>0</f>
        <v>0</v>
      </c>
      <c r="G464" s="6" t="s">
        <v>47</v>
      </c>
      <c r="H464" s="6">
        <f>0</f>
        <v>0</v>
      </c>
    </row>
    <row r="465" spans="1:8" ht="23.25" customHeight="1" x14ac:dyDescent="0.25">
      <c r="A465" s="67"/>
      <c r="B465" s="69"/>
      <c r="C465" s="3" t="s">
        <v>20</v>
      </c>
      <c r="D465" s="3" t="s">
        <v>588</v>
      </c>
      <c r="E465" s="4">
        <f>E466+E468</f>
        <v>204287.36000000002</v>
      </c>
      <c r="F465" s="4">
        <f>F466+F468</f>
        <v>96407.3</v>
      </c>
      <c r="G465" s="4" t="s">
        <v>421</v>
      </c>
      <c r="H465" s="4">
        <f>H466+H468</f>
        <v>96407.3</v>
      </c>
    </row>
    <row r="466" spans="1:8" ht="21.75" customHeight="1" x14ac:dyDescent="0.25">
      <c r="A466" s="67"/>
      <c r="B466" s="69"/>
      <c r="C466" s="5" t="s">
        <v>36</v>
      </c>
      <c r="D466" s="5" t="s">
        <v>589</v>
      </c>
      <c r="E466" s="6">
        <f>E467</f>
        <v>4575</v>
      </c>
      <c r="F466" s="6">
        <f>F467</f>
        <v>886.94</v>
      </c>
      <c r="G466" s="6" t="s">
        <v>861</v>
      </c>
      <c r="H466" s="6">
        <f>H467</f>
        <v>886.94</v>
      </c>
    </row>
    <row r="467" spans="1:8" ht="24" customHeight="1" x14ac:dyDescent="0.25">
      <c r="A467" s="67"/>
      <c r="B467" s="69"/>
      <c r="C467" s="7" t="s">
        <v>273</v>
      </c>
      <c r="D467" s="5" t="s">
        <v>590</v>
      </c>
      <c r="E467" s="6">
        <f>4575</f>
        <v>4575</v>
      </c>
      <c r="F467" s="6">
        <f>886.94</f>
        <v>886.94</v>
      </c>
      <c r="G467" s="6" t="s">
        <v>861</v>
      </c>
      <c r="H467" s="6">
        <f>886.94</f>
        <v>886.94</v>
      </c>
    </row>
    <row r="468" spans="1:8" x14ac:dyDescent="0.25">
      <c r="A468" s="67"/>
      <c r="B468" s="69"/>
      <c r="C468" s="5" t="s">
        <v>30</v>
      </c>
      <c r="D468" s="5" t="s">
        <v>591</v>
      </c>
      <c r="E468" s="6">
        <f>E469+E470+E471+E484+E489</f>
        <v>199712.36000000002</v>
      </c>
      <c r="F468" s="6">
        <f>F469+F470+F471+F484+F489</f>
        <v>95520.36</v>
      </c>
      <c r="G468" s="6" t="s">
        <v>862</v>
      </c>
      <c r="H468" s="6">
        <f>H469+H470+H471+H484+H489</f>
        <v>95520.36</v>
      </c>
    </row>
    <row r="469" spans="1:8" ht="21.75" customHeight="1" x14ac:dyDescent="0.25">
      <c r="A469" s="67"/>
      <c r="B469" s="69"/>
      <c r="C469" s="7" t="s">
        <v>268</v>
      </c>
      <c r="D469" s="5" t="s">
        <v>593</v>
      </c>
      <c r="E469" s="6">
        <f>120972+6367</f>
        <v>127339</v>
      </c>
      <c r="F469" s="6">
        <f>40207.91+2116.67</f>
        <v>42324.58</v>
      </c>
      <c r="G469" s="6" t="s">
        <v>863</v>
      </c>
      <c r="H469" s="6">
        <f>40207.91+2116.67</f>
        <v>42324.58</v>
      </c>
    </row>
    <row r="470" spans="1:8" ht="24" x14ac:dyDescent="0.25">
      <c r="A470" s="67"/>
      <c r="B470" s="69"/>
      <c r="C470" s="7" t="s">
        <v>269</v>
      </c>
      <c r="D470" s="5" t="s">
        <v>594</v>
      </c>
      <c r="E470" s="6">
        <f>3478.14</f>
        <v>3478.14</v>
      </c>
      <c r="F470" s="6">
        <f>2478.14</f>
        <v>2478.14</v>
      </c>
      <c r="G470" s="6" t="s">
        <v>864</v>
      </c>
      <c r="H470" s="6">
        <f>2478.14</f>
        <v>2478.14</v>
      </c>
    </row>
    <row r="471" spans="1:8" x14ac:dyDescent="0.25">
      <c r="A471" s="67"/>
      <c r="B471" s="69"/>
      <c r="C471" s="7" t="s">
        <v>595</v>
      </c>
      <c r="D471" s="5" t="s">
        <v>596</v>
      </c>
      <c r="E471" s="6">
        <f>E472+E473+E474+E475+E476+E477+E478+E479+E480+E481+E482+E483</f>
        <v>65647.08</v>
      </c>
      <c r="F471" s="6">
        <f>F472+F473+F474+F475+F476+F477+F478+F479+F480+F481+F482+F483</f>
        <v>47669.5</v>
      </c>
      <c r="G471" s="6" t="s">
        <v>865</v>
      </c>
      <c r="H471" s="6">
        <f>H472+H473+H474+H475+H476+H477+H478+H479+H480+H481+H482+H483</f>
        <v>47669.5</v>
      </c>
    </row>
    <row r="472" spans="1:8" x14ac:dyDescent="0.25">
      <c r="A472" s="67"/>
      <c r="B472" s="69"/>
      <c r="C472" s="7" t="s">
        <v>597</v>
      </c>
      <c r="D472" s="5" t="s">
        <v>598</v>
      </c>
      <c r="E472" s="6">
        <f>3673.6</f>
        <v>3673.6</v>
      </c>
      <c r="F472" s="6">
        <f>2500</f>
        <v>2500</v>
      </c>
      <c r="G472" s="6" t="s">
        <v>721</v>
      </c>
      <c r="H472" s="6">
        <f>2500</f>
        <v>2500</v>
      </c>
    </row>
    <row r="473" spans="1:8" x14ac:dyDescent="0.25">
      <c r="A473" s="67"/>
      <c r="B473" s="69"/>
      <c r="C473" s="7" t="s">
        <v>599</v>
      </c>
      <c r="D473" s="5" t="s">
        <v>600</v>
      </c>
      <c r="E473" s="6">
        <f>5000</f>
        <v>5000</v>
      </c>
      <c r="F473" s="6">
        <f>3535.03</f>
        <v>3535.03</v>
      </c>
      <c r="G473" s="6" t="s">
        <v>866</v>
      </c>
      <c r="H473" s="6">
        <f>3535.03</f>
        <v>3535.03</v>
      </c>
    </row>
    <row r="474" spans="1:8" ht="18" customHeight="1" x14ac:dyDescent="0.25">
      <c r="A474" s="67"/>
      <c r="B474" s="69"/>
      <c r="C474" s="7" t="s">
        <v>602</v>
      </c>
      <c r="D474" s="5" t="s">
        <v>603</v>
      </c>
      <c r="E474" s="6">
        <f>0</f>
        <v>0</v>
      </c>
      <c r="F474" s="6">
        <f>0</f>
        <v>0</v>
      </c>
      <c r="G474" s="6" t="s">
        <v>10</v>
      </c>
      <c r="H474" s="6">
        <f>0</f>
        <v>0</v>
      </c>
    </row>
    <row r="475" spans="1:8" x14ac:dyDescent="0.25">
      <c r="A475" s="67"/>
      <c r="B475" s="69"/>
      <c r="C475" s="7" t="s">
        <v>604</v>
      </c>
      <c r="D475" s="5" t="s">
        <v>605</v>
      </c>
      <c r="E475" s="6">
        <f>0</f>
        <v>0</v>
      </c>
      <c r="F475" s="6">
        <f>0</f>
        <v>0</v>
      </c>
      <c r="G475" s="6" t="s">
        <v>10</v>
      </c>
      <c r="H475" s="6">
        <f>0</f>
        <v>0</v>
      </c>
    </row>
    <row r="476" spans="1:8" x14ac:dyDescent="0.25">
      <c r="A476" s="67"/>
      <c r="B476" s="69"/>
      <c r="C476" s="7" t="s">
        <v>606</v>
      </c>
      <c r="D476" s="5" t="s">
        <v>607</v>
      </c>
      <c r="E476" s="6">
        <f>0</f>
        <v>0</v>
      </c>
      <c r="F476" s="6">
        <f>0</f>
        <v>0</v>
      </c>
      <c r="G476" s="6" t="s">
        <v>10</v>
      </c>
      <c r="H476" s="6">
        <f>0</f>
        <v>0</v>
      </c>
    </row>
    <row r="477" spans="1:8" x14ac:dyDescent="0.25">
      <c r="A477" s="67"/>
      <c r="B477" s="69"/>
      <c r="C477" s="7" t="s">
        <v>608</v>
      </c>
      <c r="D477" s="5" t="s">
        <v>609</v>
      </c>
      <c r="E477" s="6">
        <f>934.56</f>
        <v>934.56</v>
      </c>
      <c r="F477" s="6">
        <f>432.62</f>
        <v>432.62</v>
      </c>
      <c r="G477" s="6" t="s">
        <v>854</v>
      </c>
      <c r="H477" s="6">
        <f>432.62</f>
        <v>432.62</v>
      </c>
    </row>
    <row r="478" spans="1:8" ht="18" customHeight="1" x14ac:dyDescent="0.25">
      <c r="A478" s="67"/>
      <c r="B478" s="69"/>
      <c r="C478" s="7" t="s">
        <v>610</v>
      </c>
      <c r="D478" s="5" t="s">
        <v>611</v>
      </c>
      <c r="E478" s="6">
        <f>0</f>
        <v>0</v>
      </c>
      <c r="F478" s="6">
        <f>0</f>
        <v>0</v>
      </c>
      <c r="G478" s="6" t="s">
        <v>10</v>
      </c>
      <c r="H478" s="6">
        <f>0</f>
        <v>0</v>
      </c>
    </row>
    <row r="479" spans="1:8" ht="23.25" customHeight="1" x14ac:dyDescent="0.25">
      <c r="A479" s="67"/>
      <c r="B479" s="69"/>
      <c r="C479" s="7" t="s">
        <v>612</v>
      </c>
      <c r="D479" s="5" t="s">
        <v>867</v>
      </c>
      <c r="E479" s="6">
        <f>0</f>
        <v>0</v>
      </c>
      <c r="F479" s="6">
        <f>0</f>
        <v>0</v>
      </c>
      <c r="G479" s="6" t="s">
        <v>10</v>
      </c>
      <c r="H479" s="6">
        <f>0</f>
        <v>0</v>
      </c>
    </row>
    <row r="480" spans="1:8" ht="24" customHeight="1" x14ac:dyDescent="0.25">
      <c r="A480" s="67"/>
      <c r="B480" s="69"/>
      <c r="C480" s="7" t="s">
        <v>613</v>
      </c>
      <c r="D480" s="5" t="s">
        <v>614</v>
      </c>
      <c r="E480" s="6">
        <f>50146.75</f>
        <v>50146.75</v>
      </c>
      <c r="F480" s="6">
        <f>37609.68</f>
        <v>37609.68</v>
      </c>
      <c r="G480" s="6" t="s">
        <v>466</v>
      </c>
      <c r="H480" s="6">
        <f>37609.68</f>
        <v>37609.68</v>
      </c>
    </row>
    <row r="481" spans="1:8" x14ac:dyDescent="0.25">
      <c r="A481" s="67"/>
      <c r="B481" s="69"/>
      <c r="C481" s="7" t="s">
        <v>615</v>
      </c>
      <c r="D481" s="5" t="s">
        <v>616</v>
      </c>
      <c r="E481" s="6">
        <f>3392.17</f>
        <v>3392.17</v>
      </c>
      <c r="F481" s="6">
        <f>3392.17</f>
        <v>3392.17</v>
      </c>
      <c r="G481" s="6" t="s">
        <v>282</v>
      </c>
      <c r="H481" s="6">
        <f>3392.17</f>
        <v>3392.17</v>
      </c>
    </row>
    <row r="482" spans="1:8" ht="18" customHeight="1" x14ac:dyDescent="0.25">
      <c r="A482" s="67"/>
      <c r="B482" s="69"/>
      <c r="C482" s="7" t="s">
        <v>618</v>
      </c>
      <c r="D482" s="5" t="s">
        <v>619</v>
      </c>
      <c r="E482" s="6">
        <f>1500</f>
        <v>1500</v>
      </c>
      <c r="F482" s="6">
        <f>0</f>
        <v>0</v>
      </c>
      <c r="G482" s="6" t="s">
        <v>47</v>
      </c>
      <c r="H482" s="6">
        <f>0</f>
        <v>0</v>
      </c>
    </row>
    <row r="483" spans="1:8" ht="18" customHeight="1" x14ac:dyDescent="0.25">
      <c r="A483" s="67"/>
      <c r="B483" s="69"/>
      <c r="C483" s="7" t="s">
        <v>620</v>
      </c>
      <c r="D483" s="5" t="s">
        <v>621</v>
      </c>
      <c r="E483" s="6">
        <f>1000</f>
        <v>1000</v>
      </c>
      <c r="F483" s="6">
        <f>200</f>
        <v>200</v>
      </c>
      <c r="G483" s="6" t="s">
        <v>396</v>
      </c>
      <c r="H483" s="6">
        <f>200</f>
        <v>200</v>
      </c>
    </row>
    <row r="484" spans="1:8" ht="18" customHeight="1" x14ac:dyDescent="0.25">
      <c r="A484" s="67"/>
      <c r="B484" s="69"/>
      <c r="C484" s="7" t="s">
        <v>622</v>
      </c>
      <c r="D484" s="5" t="s">
        <v>623</v>
      </c>
      <c r="E484" s="6">
        <f>E485+E486+E487+E488</f>
        <v>3248.14</v>
      </c>
      <c r="F484" s="6">
        <f>F485+F486+F487+F488</f>
        <v>3048.14</v>
      </c>
      <c r="G484" s="6" t="s">
        <v>868</v>
      </c>
      <c r="H484" s="6">
        <f>H485+H486+H487+H488</f>
        <v>3048.14</v>
      </c>
    </row>
    <row r="485" spans="1:8" ht="18" customHeight="1" x14ac:dyDescent="0.25">
      <c r="A485" s="67"/>
      <c r="B485" s="69"/>
      <c r="C485" s="7" t="s">
        <v>624</v>
      </c>
      <c r="D485" s="5" t="s">
        <v>625</v>
      </c>
      <c r="E485" s="6">
        <f>200</f>
        <v>200</v>
      </c>
      <c r="F485" s="6">
        <f>0</f>
        <v>0</v>
      </c>
      <c r="G485" s="6" t="s">
        <v>47</v>
      </c>
      <c r="H485" s="6">
        <f>0</f>
        <v>0</v>
      </c>
    </row>
    <row r="486" spans="1:8" ht="18" customHeight="1" x14ac:dyDescent="0.25">
      <c r="A486" s="67"/>
      <c r="B486" s="69"/>
      <c r="C486" s="7" t="s">
        <v>626</v>
      </c>
      <c r="D486" s="5" t="s">
        <v>627</v>
      </c>
      <c r="E486" s="6">
        <f>1000</f>
        <v>1000</v>
      </c>
      <c r="F486" s="6">
        <f>1000</f>
        <v>1000</v>
      </c>
      <c r="G486" s="6" t="s">
        <v>282</v>
      </c>
      <c r="H486" s="6">
        <f>1000</f>
        <v>1000</v>
      </c>
    </row>
    <row r="487" spans="1:8" x14ac:dyDescent="0.25">
      <c r="A487" s="67"/>
      <c r="B487" s="69"/>
      <c r="C487" s="7" t="s">
        <v>628</v>
      </c>
      <c r="D487" s="5" t="s">
        <v>629</v>
      </c>
      <c r="E487" s="6">
        <f>2048.14</f>
        <v>2048.14</v>
      </c>
      <c r="F487" s="6">
        <f>2048.14</f>
        <v>2048.14</v>
      </c>
      <c r="G487" s="6" t="s">
        <v>282</v>
      </c>
      <c r="H487" s="6">
        <f>2048.14</f>
        <v>2048.14</v>
      </c>
    </row>
    <row r="488" spans="1:8" ht="18" customHeight="1" x14ac:dyDescent="0.25">
      <c r="A488" s="67"/>
      <c r="B488" s="69"/>
      <c r="C488" s="7" t="s">
        <v>630</v>
      </c>
      <c r="D488" s="5" t="s">
        <v>631</v>
      </c>
      <c r="E488" s="6">
        <f>0</f>
        <v>0</v>
      </c>
      <c r="F488" s="6">
        <f>0</f>
        <v>0</v>
      </c>
      <c r="G488" s="6" t="s">
        <v>10</v>
      </c>
      <c r="H488" s="6">
        <f>0</f>
        <v>0</v>
      </c>
    </row>
    <row r="489" spans="1:8" x14ac:dyDescent="0.25">
      <c r="A489" s="67"/>
      <c r="B489" s="69"/>
      <c r="C489" s="7" t="s">
        <v>632</v>
      </c>
      <c r="D489" s="5" t="s">
        <v>633</v>
      </c>
      <c r="E489" s="6">
        <f>0</f>
        <v>0</v>
      </c>
      <c r="F489" s="6">
        <f>0</f>
        <v>0</v>
      </c>
      <c r="G489" s="6" t="s">
        <v>869</v>
      </c>
      <c r="H489" s="6">
        <f>0</f>
        <v>0</v>
      </c>
    </row>
    <row r="490" spans="1:8" ht="21" customHeight="1" x14ac:dyDescent="0.25">
      <c r="A490" s="67"/>
      <c r="B490" s="69"/>
      <c r="C490" s="3" t="s">
        <v>13</v>
      </c>
      <c r="D490" s="3" t="s">
        <v>40</v>
      </c>
      <c r="E490" s="4">
        <f>E491</f>
        <v>108656.79000000001</v>
      </c>
      <c r="F490" s="4">
        <f>F491</f>
        <v>74172.12</v>
      </c>
      <c r="G490" s="4" t="s">
        <v>707</v>
      </c>
      <c r="H490" s="4">
        <f>H491</f>
        <v>74172.12</v>
      </c>
    </row>
    <row r="491" spans="1:8" ht="19.5" customHeight="1" x14ac:dyDescent="0.25">
      <c r="A491" s="67"/>
      <c r="B491" s="69"/>
      <c r="C491" s="5" t="s">
        <v>21</v>
      </c>
      <c r="D491" s="5" t="s">
        <v>41</v>
      </c>
      <c r="E491" s="6">
        <f>E492</f>
        <v>108656.79000000001</v>
      </c>
      <c r="F491" s="6">
        <f>F492</f>
        <v>74172.12</v>
      </c>
      <c r="G491" s="6" t="s">
        <v>707</v>
      </c>
      <c r="H491" s="6">
        <f>H492</f>
        <v>74172.12</v>
      </c>
    </row>
    <row r="492" spans="1:8" ht="19.5" customHeight="1" x14ac:dyDescent="0.25">
      <c r="A492" s="67"/>
      <c r="B492" s="69"/>
      <c r="C492" s="7" t="s">
        <v>262</v>
      </c>
      <c r="D492" s="5" t="s">
        <v>634</v>
      </c>
      <c r="E492" s="6">
        <f>E493+E494+E495</f>
        <v>108656.79000000001</v>
      </c>
      <c r="F492" s="6">
        <f>F493+F494+F495</f>
        <v>74172.12</v>
      </c>
      <c r="G492" s="6" t="s">
        <v>707</v>
      </c>
      <c r="H492" s="6">
        <f>H493+H494+H495</f>
        <v>74172.12</v>
      </c>
    </row>
    <row r="493" spans="1:8" ht="24" x14ac:dyDescent="0.25">
      <c r="A493" s="67"/>
      <c r="B493" s="69"/>
      <c r="C493" s="7" t="s">
        <v>263</v>
      </c>
      <c r="D493" s="5" t="s">
        <v>635</v>
      </c>
      <c r="E493" s="6">
        <f>0</f>
        <v>0</v>
      </c>
      <c r="F493" s="6">
        <f>0</f>
        <v>0</v>
      </c>
      <c r="G493" s="6" t="s">
        <v>10</v>
      </c>
      <c r="H493" s="6">
        <f>0</f>
        <v>0</v>
      </c>
    </row>
    <row r="494" spans="1:8" ht="24" x14ac:dyDescent="0.25">
      <c r="A494" s="67"/>
      <c r="B494" s="69"/>
      <c r="C494" s="7" t="s">
        <v>264</v>
      </c>
      <c r="D494" s="5" t="s">
        <v>636</v>
      </c>
      <c r="E494" s="6">
        <f>70376.88</f>
        <v>70376.88</v>
      </c>
      <c r="F494" s="6">
        <f>51318.16</f>
        <v>51318.16</v>
      </c>
      <c r="G494" s="6" t="s">
        <v>428</v>
      </c>
      <c r="H494" s="6">
        <f>51318.16</f>
        <v>51318.16</v>
      </c>
    </row>
    <row r="495" spans="1:8" x14ac:dyDescent="0.25">
      <c r="A495" s="67"/>
      <c r="B495" s="69"/>
      <c r="C495" s="7" t="s">
        <v>265</v>
      </c>
      <c r="D495" s="5" t="s">
        <v>638</v>
      </c>
      <c r="E495" s="6">
        <f>38279.91</f>
        <v>38279.910000000003</v>
      </c>
      <c r="F495" s="6">
        <f>22853.96</f>
        <v>22853.96</v>
      </c>
      <c r="G495" s="6" t="s">
        <v>870</v>
      </c>
      <c r="H495" s="6">
        <f>22853.96</f>
        <v>22853.96</v>
      </c>
    </row>
    <row r="496" spans="1:8" ht="21" customHeight="1" thickBot="1" x14ac:dyDescent="0.3">
      <c r="A496" s="57" t="s">
        <v>18</v>
      </c>
      <c r="B496" s="58"/>
      <c r="C496" s="58"/>
      <c r="D496" s="58"/>
      <c r="E496" s="37">
        <f>E458+E465+E490</f>
        <v>596155.68000000005</v>
      </c>
      <c r="F496" s="34">
        <f>F458+F465+F490</f>
        <v>170579.41999999998</v>
      </c>
      <c r="G496" s="38" t="s">
        <v>871</v>
      </c>
      <c r="H496" s="37">
        <f>H458+H465+H490</f>
        <v>170579.41999999998</v>
      </c>
    </row>
    <row r="497" spans="1:8" ht="36" x14ac:dyDescent="0.25">
      <c r="A497" s="61">
        <v>15</v>
      </c>
      <c r="B497" s="62" t="s">
        <v>187</v>
      </c>
      <c r="C497" s="3" t="s">
        <v>8</v>
      </c>
      <c r="D497" s="3" t="s">
        <v>872</v>
      </c>
      <c r="E497" s="4">
        <f>E498+E499+E505</f>
        <v>73748.44</v>
      </c>
      <c r="F497" s="4">
        <f>F498+F499+F505</f>
        <v>48843.57</v>
      </c>
      <c r="G497" s="21" t="s">
        <v>873</v>
      </c>
      <c r="H497" s="26">
        <f>H498+H499+H505</f>
        <v>48843.57</v>
      </c>
    </row>
    <row r="498" spans="1:8" ht="24" x14ac:dyDescent="0.25">
      <c r="A498" s="61"/>
      <c r="B498" s="62"/>
      <c r="C498" s="5" t="s">
        <v>21</v>
      </c>
      <c r="D498" s="5" t="s">
        <v>874</v>
      </c>
      <c r="E498" s="6">
        <f>0</f>
        <v>0</v>
      </c>
      <c r="F498" s="6">
        <f>0</f>
        <v>0</v>
      </c>
      <c r="G498" s="22" t="s">
        <v>10</v>
      </c>
      <c r="H498" s="25">
        <f>0</f>
        <v>0</v>
      </c>
    </row>
    <row r="499" spans="1:8" ht="16.5" customHeight="1" x14ac:dyDescent="0.25">
      <c r="A499" s="61"/>
      <c r="B499" s="62"/>
      <c r="C499" s="5" t="s">
        <v>36</v>
      </c>
      <c r="D499" s="5" t="s">
        <v>875</v>
      </c>
      <c r="E499" s="6">
        <f>E500+E501+E502+E503+E504</f>
        <v>73455.44</v>
      </c>
      <c r="F499" s="6">
        <f>F500+F501+F502+F503+F504</f>
        <v>48754.85</v>
      </c>
      <c r="G499" s="22" t="s">
        <v>726</v>
      </c>
      <c r="H499" s="25">
        <f>H500+H501+H502+H503+H504</f>
        <v>48754.85</v>
      </c>
    </row>
    <row r="500" spans="1:8" ht="36" x14ac:dyDescent="0.25">
      <c r="A500" s="61"/>
      <c r="B500" s="62"/>
      <c r="C500" s="7" t="s">
        <v>272</v>
      </c>
      <c r="D500" s="5" t="s">
        <v>876</v>
      </c>
      <c r="E500" s="6">
        <f>0</f>
        <v>0</v>
      </c>
      <c r="F500" s="6">
        <f>0</f>
        <v>0</v>
      </c>
      <c r="G500" s="22" t="s">
        <v>10</v>
      </c>
      <c r="H500" s="25">
        <f>0</f>
        <v>0</v>
      </c>
    </row>
    <row r="501" spans="1:8" ht="24" x14ac:dyDescent="0.25">
      <c r="A501" s="61"/>
      <c r="B501" s="62"/>
      <c r="C501" s="7" t="s">
        <v>273</v>
      </c>
      <c r="D501" s="5" t="s">
        <v>877</v>
      </c>
      <c r="E501" s="6">
        <f>5013+264</f>
        <v>5277</v>
      </c>
      <c r="F501" s="6">
        <f>2880.8+151.7</f>
        <v>3032.5</v>
      </c>
      <c r="G501" s="22" t="s">
        <v>878</v>
      </c>
      <c r="H501" s="25">
        <f>2880.8+151.7</f>
        <v>3032.5</v>
      </c>
    </row>
    <row r="502" spans="1:8" ht="24" x14ac:dyDescent="0.25">
      <c r="A502" s="61"/>
      <c r="B502" s="62"/>
      <c r="C502" s="7" t="s">
        <v>274</v>
      </c>
      <c r="D502" s="5" t="s">
        <v>879</v>
      </c>
      <c r="E502" s="6">
        <f>64204.84</f>
        <v>64204.84</v>
      </c>
      <c r="F502" s="6">
        <f>42824.63</f>
        <v>42824.63</v>
      </c>
      <c r="G502" s="22" t="s">
        <v>814</v>
      </c>
      <c r="H502" s="25">
        <f>42824.63</f>
        <v>42824.63</v>
      </c>
    </row>
    <row r="503" spans="1:8" ht="24" x14ac:dyDescent="0.25">
      <c r="A503" s="61"/>
      <c r="B503" s="62"/>
      <c r="C503" s="7" t="s">
        <v>275</v>
      </c>
      <c r="D503" s="5" t="s">
        <v>880</v>
      </c>
      <c r="E503" s="6">
        <f>3973.6</f>
        <v>3973.6</v>
      </c>
      <c r="F503" s="6">
        <f>2897.72</f>
        <v>2897.72</v>
      </c>
      <c r="G503" s="22" t="s">
        <v>428</v>
      </c>
      <c r="H503" s="25">
        <f>2897.72</f>
        <v>2897.72</v>
      </c>
    </row>
    <row r="504" spans="1:8" ht="57" customHeight="1" x14ac:dyDescent="0.25">
      <c r="A504" s="61"/>
      <c r="B504" s="62"/>
      <c r="C504" s="7" t="s">
        <v>276</v>
      </c>
      <c r="D504" s="5" t="s">
        <v>881</v>
      </c>
      <c r="E504" s="6">
        <f>0</f>
        <v>0</v>
      </c>
      <c r="F504" s="6">
        <f>0</f>
        <v>0</v>
      </c>
      <c r="G504" s="22" t="s">
        <v>10</v>
      </c>
      <c r="H504" s="25">
        <f>0</f>
        <v>0</v>
      </c>
    </row>
    <row r="505" spans="1:8" ht="24" x14ac:dyDescent="0.25">
      <c r="A505" s="61"/>
      <c r="B505" s="62"/>
      <c r="C505" s="5" t="s">
        <v>11</v>
      </c>
      <c r="D505" s="5" t="s">
        <v>882</v>
      </c>
      <c r="E505" s="6">
        <f>E506+E507</f>
        <v>293</v>
      </c>
      <c r="F505" s="6">
        <f>F506+F507</f>
        <v>88.72</v>
      </c>
      <c r="G505" s="22" t="s">
        <v>883</v>
      </c>
      <c r="H505" s="25">
        <f>H506+H507</f>
        <v>88.72</v>
      </c>
    </row>
    <row r="506" spans="1:8" ht="36" x14ac:dyDescent="0.25">
      <c r="A506" s="61"/>
      <c r="B506" s="62"/>
      <c r="C506" s="7" t="s">
        <v>256</v>
      </c>
      <c r="D506" s="5" t="s">
        <v>884</v>
      </c>
      <c r="E506" s="6">
        <f>0</f>
        <v>0</v>
      </c>
      <c r="F506" s="6">
        <f>0</f>
        <v>0</v>
      </c>
      <c r="G506" s="22" t="s">
        <v>10</v>
      </c>
      <c r="H506" s="25">
        <f>0</f>
        <v>0</v>
      </c>
    </row>
    <row r="507" spans="1:8" ht="48" x14ac:dyDescent="0.25">
      <c r="A507" s="61"/>
      <c r="B507" s="62"/>
      <c r="C507" s="7" t="s">
        <v>257</v>
      </c>
      <c r="D507" s="5" t="s">
        <v>885</v>
      </c>
      <c r="E507" s="6">
        <f>222+71</f>
        <v>293</v>
      </c>
      <c r="F507" s="6">
        <f>67.25+21.47</f>
        <v>88.72</v>
      </c>
      <c r="G507" s="22" t="s">
        <v>883</v>
      </c>
      <c r="H507" s="25">
        <f>67.25+21.47</f>
        <v>88.72</v>
      </c>
    </row>
    <row r="508" spans="1:8" ht="24" x14ac:dyDescent="0.25">
      <c r="A508" s="61"/>
      <c r="B508" s="62"/>
      <c r="C508" s="3" t="s">
        <v>20</v>
      </c>
      <c r="D508" s="3" t="s">
        <v>886</v>
      </c>
      <c r="E508" s="4">
        <f>E509+E515+E517+E521+E522+E532+E533</f>
        <v>32598.46</v>
      </c>
      <c r="F508" s="4">
        <f>F509+F515+F517+F521+F522+F532+F533</f>
        <v>5970.07</v>
      </c>
      <c r="G508" s="21" t="s">
        <v>887</v>
      </c>
      <c r="H508" s="24">
        <f>H509+H515+H517+H521+H522+H532+H533</f>
        <v>5970.07</v>
      </c>
    </row>
    <row r="509" spans="1:8" ht="17.25" customHeight="1" x14ac:dyDescent="0.25">
      <c r="A509" s="61"/>
      <c r="B509" s="62"/>
      <c r="C509" s="5" t="s">
        <v>21</v>
      </c>
      <c r="D509" s="5" t="s">
        <v>888</v>
      </c>
      <c r="E509" s="6">
        <f>E510+E511+E512+E513+E514</f>
        <v>6801.9</v>
      </c>
      <c r="F509" s="6">
        <f>F510+F511+F512+F513+F514</f>
        <v>3764.8</v>
      </c>
      <c r="G509" s="22" t="s">
        <v>889</v>
      </c>
      <c r="H509" s="25">
        <f>H510+H511+H512+H513+H514</f>
        <v>3764.8</v>
      </c>
    </row>
    <row r="510" spans="1:8" ht="24" x14ac:dyDescent="0.25">
      <c r="A510" s="61"/>
      <c r="B510" s="62"/>
      <c r="C510" s="7" t="s">
        <v>258</v>
      </c>
      <c r="D510" s="5" t="s">
        <v>890</v>
      </c>
      <c r="E510" s="6">
        <f>0</f>
        <v>0</v>
      </c>
      <c r="F510" s="6">
        <f>0</f>
        <v>0</v>
      </c>
      <c r="G510" s="22" t="s">
        <v>10</v>
      </c>
      <c r="H510" s="25">
        <f>0</f>
        <v>0</v>
      </c>
    </row>
    <row r="511" spans="1:8" ht="24" x14ac:dyDescent="0.25">
      <c r="A511" s="61"/>
      <c r="B511" s="62"/>
      <c r="C511" s="7" t="s">
        <v>262</v>
      </c>
      <c r="D511" s="5" t="s">
        <v>891</v>
      </c>
      <c r="E511" s="6">
        <f>576.7</f>
        <v>576.70000000000005</v>
      </c>
      <c r="F511" s="6">
        <f>282.25</f>
        <v>282.25</v>
      </c>
      <c r="G511" s="22" t="s">
        <v>892</v>
      </c>
      <c r="H511" s="25">
        <f>282.25</f>
        <v>282.25</v>
      </c>
    </row>
    <row r="512" spans="1:8" ht="36" x14ac:dyDescent="0.25">
      <c r="A512" s="61"/>
      <c r="B512" s="62"/>
      <c r="C512" s="7" t="s">
        <v>271</v>
      </c>
      <c r="D512" s="5" t="s">
        <v>893</v>
      </c>
      <c r="E512" s="6">
        <f>0</f>
        <v>0</v>
      </c>
      <c r="F512" s="6">
        <f>0</f>
        <v>0</v>
      </c>
      <c r="G512" s="22" t="s">
        <v>10</v>
      </c>
      <c r="H512" s="25">
        <f>0</f>
        <v>0</v>
      </c>
    </row>
    <row r="513" spans="1:8" ht="18" customHeight="1" x14ac:dyDescent="0.25">
      <c r="A513" s="61"/>
      <c r="B513" s="62"/>
      <c r="C513" s="7" t="s">
        <v>266</v>
      </c>
      <c r="D513" s="5" t="s">
        <v>894</v>
      </c>
      <c r="E513" s="6">
        <f>6225.2</f>
        <v>6225.2</v>
      </c>
      <c r="F513" s="6">
        <f>3482.55</f>
        <v>3482.55</v>
      </c>
      <c r="G513" s="22" t="s">
        <v>895</v>
      </c>
      <c r="H513" s="25">
        <f>3482.55</f>
        <v>3482.55</v>
      </c>
    </row>
    <row r="514" spans="1:8" ht="36" x14ac:dyDescent="0.25">
      <c r="A514" s="61"/>
      <c r="B514" s="62"/>
      <c r="C514" s="7" t="s">
        <v>267</v>
      </c>
      <c r="D514" s="5" t="s">
        <v>896</v>
      </c>
      <c r="E514" s="6">
        <f>0</f>
        <v>0</v>
      </c>
      <c r="F514" s="6">
        <f>0</f>
        <v>0</v>
      </c>
      <c r="G514" s="22" t="s">
        <v>10</v>
      </c>
      <c r="H514" s="25">
        <f>0</f>
        <v>0</v>
      </c>
    </row>
    <row r="515" spans="1:8" ht="17.25" customHeight="1" x14ac:dyDescent="0.25">
      <c r="A515" s="61"/>
      <c r="B515" s="62"/>
      <c r="C515" s="5" t="s">
        <v>36</v>
      </c>
      <c r="D515" s="5" t="s">
        <v>897</v>
      </c>
      <c r="E515" s="6">
        <f>E516</f>
        <v>610</v>
      </c>
      <c r="F515" s="6">
        <f>F516</f>
        <v>10</v>
      </c>
      <c r="G515" s="22" t="s">
        <v>898</v>
      </c>
      <c r="H515" s="25">
        <f>H516</f>
        <v>10</v>
      </c>
    </row>
    <row r="516" spans="1:8" ht="72" x14ac:dyDescent="0.25">
      <c r="A516" s="61"/>
      <c r="B516" s="62"/>
      <c r="C516" s="7" t="s">
        <v>272</v>
      </c>
      <c r="D516" s="5" t="s">
        <v>899</v>
      </c>
      <c r="E516" s="6">
        <f>610</f>
        <v>610</v>
      </c>
      <c r="F516" s="6">
        <f>10</f>
        <v>10</v>
      </c>
      <c r="G516" s="22" t="s">
        <v>898</v>
      </c>
      <c r="H516" s="25">
        <f>10</f>
        <v>10</v>
      </c>
    </row>
    <row r="517" spans="1:8" ht="18" customHeight="1" x14ac:dyDescent="0.25">
      <c r="A517" s="61"/>
      <c r="B517" s="62"/>
      <c r="C517" s="5" t="s">
        <v>11</v>
      </c>
      <c r="D517" s="5" t="s">
        <v>900</v>
      </c>
      <c r="E517" s="6">
        <f>E518+E519+E520</f>
        <v>1881.1999999999998</v>
      </c>
      <c r="F517" s="6">
        <f>F518+F519+F520</f>
        <v>665.53</v>
      </c>
      <c r="G517" s="22" t="s">
        <v>901</v>
      </c>
      <c r="H517" s="25">
        <f>H518+H519+H520</f>
        <v>665.53</v>
      </c>
    </row>
    <row r="518" spans="1:8" ht="18" customHeight="1" x14ac:dyDescent="0.25">
      <c r="A518" s="61"/>
      <c r="B518" s="62"/>
      <c r="C518" s="7" t="s">
        <v>256</v>
      </c>
      <c r="D518" s="5" t="s">
        <v>902</v>
      </c>
      <c r="E518" s="6">
        <f>652.4</f>
        <v>652.4</v>
      </c>
      <c r="F518" s="6">
        <f>302.4</f>
        <v>302.39999999999998</v>
      </c>
      <c r="G518" s="22" t="s">
        <v>854</v>
      </c>
      <c r="H518" s="25">
        <f>302.4</f>
        <v>302.39999999999998</v>
      </c>
    </row>
    <row r="519" spans="1:8" ht="36" x14ac:dyDescent="0.25">
      <c r="A519" s="61"/>
      <c r="B519" s="62"/>
      <c r="C519" s="7" t="s">
        <v>257</v>
      </c>
      <c r="D519" s="5" t="s">
        <v>903</v>
      </c>
      <c r="E519" s="6">
        <f>0</f>
        <v>0</v>
      </c>
      <c r="F519" s="6">
        <f>0</f>
        <v>0</v>
      </c>
      <c r="G519" s="22" t="s">
        <v>10</v>
      </c>
      <c r="H519" s="25">
        <f>0</f>
        <v>0</v>
      </c>
    </row>
    <row r="520" spans="1:8" ht="24" x14ac:dyDescent="0.25">
      <c r="A520" s="61"/>
      <c r="B520" s="62"/>
      <c r="C520" s="7" t="s">
        <v>294</v>
      </c>
      <c r="D520" s="5" t="s">
        <v>904</v>
      </c>
      <c r="E520" s="6">
        <f>1228.8</f>
        <v>1228.8</v>
      </c>
      <c r="F520" s="6">
        <f>363.13</f>
        <v>363.13</v>
      </c>
      <c r="G520" s="22" t="s">
        <v>905</v>
      </c>
      <c r="H520" s="25">
        <f>363.13</f>
        <v>363.13</v>
      </c>
    </row>
    <row r="521" spans="1:8" ht="17.25" customHeight="1" x14ac:dyDescent="0.25">
      <c r="A521" s="61"/>
      <c r="B521" s="62"/>
      <c r="C521" s="5" t="s">
        <v>90</v>
      </c>
      <c r="D521" s="5" t="s">
        <v>906</v>
      </c>
      <c r="E521" s="6">
        <f>0</f>
        <v>0</v>
      </c>
      <c r="F521" s="6">
        <f>0</f>
        <v>0</v>
      </c>
      <c r="G521" s="22" t="s">
        <v>10</v>
      </c>
      <c r="H521" s="25">
        <f>0</f>
        <v>0</v>
      </c>
    </row>
    <row r="522" spans="1:8" ht="17.25" customHeight="1" x14ac:dyDescent="0.25">
      <c r="A522" s="61"/>
      <c r="B522" s="62"/>
      <c r="C522" s="5" t="s">
        <v>188</v>
      </c>
      <c r="D522" s="5" t="s">
        <v>85</v>
      </c>
      <c r="E522" s="6">
        <f>E523+E524+E525+E526+E527+E528+E529+E530+E531</f>
        <v>23305.360000000001</v>
      </c>
      <c r="F522" s="6">
        <f>F523+F524+F525+F526+F527+F528+F529+F530+F531</f>
        <v>1529.7399999999998</v>
      </c>
      <c r="G522" s="22" t="s">
        <v>907</v>
      </c>
      <c r="H522" s="25">
        <f>H523+H524+H525+H526+H527+H528+H529+H530+H531</f>
        <v>1529.7399999999998</v>
      </c>
    </row>
    <row r="523" spans="1:8" ht="24" x14ac:dyDescent="0.25">
      <c r="A523" s="61"/>
      <c r="B523" s="62"/>
      <c r="C523" s="7" t="s">
        <v>908</v>
      </c>
      <c r="D523" s="5" t="s">
        <v>909</v>
      </c>
      <c r="E523" s="6">
        <f>0</f>
        <v>0</v>
      </c>
      <c r="F523" s="6">
        <f>0</f>
        <v>0</v>
      </c>
      <c r="G523" s="22" t="s">
        <v>10</v>
      </c>
      <c r="H523" s="25">
        <f>0</f>
        <v>0</v>
      </c>
    </row>
    <row r="524" spans="1:8" ht="24" x14ac:dyDescent="0.25">
      <c r="A524" s="61"/>
      <c r="B524" s="62"/>
      <c r="C524" s="7" t="s">
        <v>910</v>
      </c>
      <c r="D524" s="5" t="s">
        <v>911</v>
      </c>
      <c r="E524" s="6">
        <f>14609+4640</f>
        <v>19249</v>
      </c>
      <c r="F524" s="6">
        <f>0</f>
        <v>0</v>
      </c>
      <c r="G524" s="22" t="s">
        <v>47</v>
      </c>
      <c r="H524" s="25">
        <f>0</f>
        <v>0</v>
      </c>
    </row>
    <row r="525" spans="1:8" ht="22.5" customHeight="1" x14ac:dyDescent="0.25">
      <c r="A525" s="61"/>
      <c r="B525" s="62"/>
      <c r="C525" s="7" t="s">
        <v>912</v>
      </c>
      <c r="D525" s="5" t="s">
        <v>913</v>
      </c>
      <c r="E525" s="6">
        <f>0</f>
        <v>0</v>
      </c>
      <c r="F525" s="6">
        <f>0</f>
        <v>0</v>
      </c>
      <c r="G525" s="22" t="s">
        <v>10</v>
      </c>
      <c r="H525" s="25">
        <f>0</f>
        <v>0</v>
      </c>
    </row>
    <row r="526" spans="1:8" ht="48" x14ac:dyDescent="0.25">
      <c r="A526" s="61"/>
      <c r="B526" s="62"/>
      <c r="C526" s="7" t="s">
        <v>914</v>
      </c>
      <c r="D526" s="5" t="s">
        <v>915</v>
      </c>
      <c r="E526" s="6">
        <f>0</f>
        <v>0</v>
      </c>
      <c r="F526" s="6">
        <f>0</f>
        <v>0</v>
      </c>
      <c r="G526" s="22" t="s">
        <v>10</v>
      </c>
      <c r="H526" s="25">
        <f>0</f>
        <v>0</v>
      </c>
    </row>
    <row r="527" spans="1:8" ht="36" x14ac:dyDescent="0.25">
      <c r="A527" s="61"/>
      <c r="B527" s="62"/>
      <c r="C527" s="7" t="s">
        <v>916</v>
      </c>
      <c r="D527" s="5" t="s">
        <v>917</v>
      </c>
      <c r="E527" s="6">
        <f>2309.75+76.99+769.92</f>
        <v>3156.66</v>
      </c>
      <c r="F527" s="6">
        <f>1119.32+37.31+373.11</f>
        <v>1529.7399999999998</v>
      </c>
      <c r="G527" s="22" t="s">
        <v>918</v>
      </c>
      <c r="H527" s="25">
        <f>1119.32+37.31+373.11</f>
        <v>1529.7399999999998</v>
      </c>
    </row>
    <row r="528" spans="1:8" ht="48" x14ac:dyDescent="0.25">
      <c r="A528" s="61"/>
      <c r="B528" s="62"/>
      <c r="C528" s="7" t="s">
        <v>919</v>
      </c>
      <c r="D528" s="5" t="s">
        <v>920</v>
      </c>
      <c r="E528" s="6">
        <f>431.7+48</f>
        <v>479.7</v>
      </c>
      <c r="F528" s="6">
        <f>0</f>
        <v>0</v>
      </c>
      <c r="G528" s="22" t="s">
        <v>47</v>
      </c>
      <c r="H528" s="25">
        <f>0</f>
        <v>0</v>
      </c>
    </row>
    <row r="529" spans="1:8" ht="48" x14ac:dyDescent="0.25">
      <c r="A529" s="61"/>
      <c r="B529" s="62"/>
      <c r="C529" s="7" t="s">
        <v>921</v>
      </c>
      <c r="D529" s="5" t="s">
        <v>922</v>
      </c>
      <c r="E529" s="6">
        <f>378+42</f>
        <v>420</v>
      </c>
      <c r="F529" s="6">
        <f>0</f>
        <v>0</v>
      </c>
      <c r="G529" s="22" t="s">
        <v>47</v>
      </c>
      <c r="H529" s="25">
        <f>0</f>
        <v>0</v>
      </c>
    </row>
    <row r="530" spans="1:8" ht="23.25" customHeight="1" x14ac:dyDescent="0.25">
      <c r="A530" s="61"/>
      <c r="B530" s="62"/>
      <c r="C530" s="7" t="s">
        <v>923</v>
      </c>
      <c r="D530" s="5" t="s">
        <v>913</v>
      </c>
      <c r="E530" s="6">
        <f>0</f>
        <v>0</v>
      </c>
      <c r="F530" s="6">
        <f>0</f>
        <v>0</v>
      </c>
      <c r="G530" s="22" t="s">
        <v>10</v>
      </c>
      <c r="H530" s="25">
        <f>0</f>
        <v>0</v>
      </c>
    </row>
    <row r="531" spans="1:8" ht="48" x14ac:dyDescent="0.25">
      <c r="A531" s="61"/>
      <c r="B531" s="62"/>
      <c r="C531" s="7" t="s">
        <v>924</v>
      </c>
      <c r="D531" s="5" t="s">
        <v>925</v>
      </c>
      <c r="E531" s="6">
        <f>0</f>
        <v>0</v>
      </c>
      <c r="F531" s="6">
        <f>0</f>
        <v>0</v>
      </c>
      <c r="G531" s="22" t="s">
        <v>10</v>
      </c>
      <c r="H531" s="25">
        <f>0</f>
        <v>0</v>
      </c>
    </row>
    <row r="532" spans="1:8" ht="16.5" customHeight="1" x14ac:dyDescent="0.25">
      <c r="A532" s="61"/>
      <c r="B532" s="62"/>
      <c r="C532" s="5" t="s">
        <v>926</v>
      </c>
      <c r="D532" s="5" t="s">
        <v>888</v>
      </c>
      <c r="E532" s="6">
        <f>0</f>
        <v>0</v>
      </c>
      <c r="F532" s="6">
        <f>0</f>
        <v>0</v>
      </c>
      <c r="G532" s="22" t="s">
        <v>10</v>
      </c>
      <c r="H532" s="25">
        <f>0</f>
        <v>0</v>
      </c>
    </row>
    <row r="533" spans="1:8" ht="16.5" customHeight="1" x14ac:dyDescent="0.25">
      <c r="A533" s="61"/>
      <c r="B533" s="62"/>
      <c r="C533" s="5" t="s">
        <v>927</v>
      </c>
      <c r="D533" s="5" t="s">
        <v>900</v>
      </c>
      <c r="E533" s="6">
        <f>0</f>
        <v>0</v>
      </c>
      <c r="F533" s="6">
        <f>0</f>
        <v>0</v>
      </c>
      <c r="G533" s="22" t="s">
        <v>10</v>
      </c>
      <c r="H533" s="25">
        <f>0</f>
        <v>0</v>
      </c>
    </row>
    <row r="534" spans="1:8" ht="21" customHeight="1" thickBot="1" x14ac:dyDescent="0.3">
      <c r="A534" s="70" t="s">
        <v>18</v>
      </c>
      <c r="B534" s="71"/>
      <c r="C534" s="71"/>
      <c r="D534" s="72"/>
      <c r="E534" s="37">
        <f>E497+E508</f>
        <v>106346.9</v>
      </c>
      <c r="F534" s="34">
        <f>F497+F508</f>
        <v>54813.64</v>
      </c>
      <c r="G534" s="34" t="s">
        <v>422</v>
      </c>
      <c r="H534" s="39">
        <f>H497+H508</f>
        <v>54813.64</v>
      </c>
    </row>
    <row r="535" spans="1:8" ht="19.5" customHeight="1" x14ac:dyDescent="0.25">
      <c r="A535" s="66">
        <v>16</v>
      </c>
      <c r="B535" s="68" t="s">
        <v>189</v>
      </c>
      <c r="C535" s="3" t="s">
        <v>8</v>
      </c>
      <c r="D535" s="3" t="s">
        <v>641</v>
      </c>
      <c r="E535" s="4">
        <f>E536+E537+E538</f>
        <v>0</v>
      </c>
      <c r="F535" s="4">
        <f>F536+F537+F538</f>
        <v>0</v>
      </c>
      <c r="G535" s="27" t="s">
        <v>10</v>
      </c>
      <c r="H535" s="4">
        <f>H536+H537+H538</f>
        <v>0</v>
      </c>
    </row>
    <row r="536" spans="1:8" ht="24" x14ac:dyDescent="0.25">
      <c r="A536" s="67"/>
      <c r="B536" s="69"/>
      <c r="C536" s="5" t="s">
        <v>36</v>
      </c>
      <c r="D536" s="5" t="s">
        <v>642</v>
      </c>
      <c r="E536" s="6">
        <f>0</f>
        <v>0</v>
      </c>
      <c r="F536" s="6">
        <f>0</f>
        <v>0</v>
      </c>
      <c r="G536" s="6" t="s">
        <v>10</v>
      </c>
      <c r="H536" s="6">
        <f>0</f>
        <v>0</v>
      </c>
    </row>
    <row r="537" spans="1:8" ht="24" x14ac:dyDescent="0.25">
      <c r="A537" s="67"/>
      <c r="B537" s="69"/>
      <c r="C537" s="5" t="s">
        <v>11</v>
      </c>
      <c r="D537" s="5" t="s">
        <v>643</v>
      </c>
      <c r="E537" s="6">
        <f>0</f>
        <v>0</v>
      </c>
      <c r="F537" s="6">
        <f>0</f>
        <v>0</v>
      </c>
      <c r="G537" s="6" t="s">
        <v>10</v>
      </c>
      <c r="H537" s="6">
        <f>0</f>
        <v>0</v>
      </c>
    </row>
    <row r="538" spans="1:8" x14ac:dyDescent="0.25">
      <c r="A538" s="67"/>
      <c r="B538" s="69"/>
      <c r="C538" s="5" t="s">
        <v>90</v>
      </c>
      <c r="D538" s="5" t="s">
        <v>644</v>
      </c>
      <c r="E538" s="6">
        <f>0</f>
        <v>0</v>
      </c>
      <c r="F538" s="6">
        <f>0</f>
        <v>0</v>
      </c>
      <c r="G538" s="6" t="s">
        <v>10</v>
      </c>
      <c r="H538" s="6">
        <f>0</f>
        <v>0</v>
      </c>
    </row>
    <row r="539" spans="1:8" ht="22.5" customHeight="1" x14ac:dyDescent="0.25">
      <c r="A539" s="67"/>
      <c r="B539" s="69"/>
      <c r="C539" s="3" t="s">
        <v>20</v>
      </c>
      <c r="D539" s="3" t="s">
        <v>645</v>
      </c>
      <c r="E539" s="4">
        <f>E540+E542</f>
        <v>494</v>
      </c>
      <c r="F539" s="4">
        <f>F540+F542</f>
        <v>328.14</v>
      </c>
      <c r="G539" s="4" t="s">
        <v>726</v>
      </c>
      <c r="H539" s="4">
        <f>H540+H542</f>
        <v>328.14</v>
      </c>
    </row>
    <row r="540" spans="1:8" ht="34.5" customHeight="1" x14ac:dyDescent="0.25">
      <c r="A540" s="67"/>
      <c r="B540" s="69"/>
      <c r="C540" s="5" t="s">
        <v>11</v>
      </c>
      <c r="D540" s="5" t="s">
        <v>646</v>
      </c>
      <c r="E540" s="6">
        <f>E541</f>
        <v>494</v>
      </c>
      <c r="F540" s="6">
        <f>F541</f>
        <v>328.14</v>
      </c>
      <c r="G540" s="6" t="s">
        <v>726</v>
      </c>
      <c r="H540" s="6">
        <f>H541</f>
        <v>328.14</v>
      </c>
    </row>
    <row r="541" spans="1:8" ht="60" x14ac:dyDescent="0.25">
      <c r="A541" s="67"/>
      <c r="B541" s="69"/>
      <c r="C541" s="7" t="s">
        <v>256</v>
      </c>
      <c r="D541" s="5" t="s">
        <v>647</v>
      </c>
      <c r="E541" s="6">
        <f>494</f>
        <v>494</v>
      </c>
      <c r="F541" s="6">
        <f>328.14</f>
        <v>328.14</v>
      </c>
      <c r="G541" s="6" t="s">
        <v>726</v>
      </c>
      <c r="H541" s="6">
        <f>328.14</f>
        <v>328.14</v>
      </c>
    </row>
    <row r="542" spans="1:8" ht="24" x14ac:dyDescent="0.25">
      <c r="A542" s="67"/>
      <c r="B542" s="69"/>
      <c r="C542" s="5" t="s">
        <v>90</v>
      </c>
      <c r="D542" s="5" t="s">
        <v>648</v>
      </c>
      <c r="E542" s="6">
        <f>0</f>
        <v>0</v>
      </c>
      <c r="F542" s="6">
        <f>0</f>
        <v>0</v>
      </c>
      <c r="G542" s="6" t="s">
        <v>10</v>
      </c>
      <c r="H542" s="6">
        <f>0</f>
        <v>0</v>
      </c>
    </row>
    <row r="543" spans="1:8" ht="19.5" customHeight="1" x14ac:dyDescent="0.25">
      <c r="A543" s="67"/>
      <c r="B543" s="69"/>
      <c r="C543" s="3" t="s">
        <v>29</v>
      </c>
      <c r="D543" s="3" t="s">
        <v>40</v>
      </c>
      <c r="E543" s="4">
        <f>E544</f>
        <v>0</v>
      </c>
      <c r="F543" s="4">
        <f>F544</f>
        <v>0</v>
      </c>
      <c r="G543" s="4" t="s">
        <v>10</v>
      </c>
      <c r="H543" s="4">
        <f>H544</f>
        <v>0</v>
      </c>
    </row>
    <row r="544" spans="1:8" ht="18" customHeight="1" x14ac:dyDescent="0.25">
      <c r="A544" s="67"/>
      <c r="B544" s="69"/>
      <c r="C544" s="5" t="s">
        <v>21</v>
      </c>
      <c r="D544" s="5" t="s">
        <v>41</v>
      </c>
      <c r="E544" s="6">
        <f>0</f>
        <v>0</v>
      </c>
      <c r="F544" s="6">
        <f>0</f>
        <v>0</v>
      </c>
      <c r="G544" s="6" t="s">
        <v>10</v>
      </c>
      <c r="H544" s="6">
        <f>0</f>
        <v>0</v>
      </c>
    </row>
    <row r="545" spans="1:8" ht="21.75" customHeight="1" thickBot="1" x14ac:dyDescent="0.3">
      <c r="A545" s="57" t="s">
        <v>18</v>
      </c>
      <c r="B545" s="58"/>
      <c r="C545" s="58"/>
      <c r="D545" s="58"/>
      <c r="E545" s="37">
        <f>E535+E539+E543</f>
        <v>494</v>
      </c>
      <c r="F545" s="34">
        <f>F535+F539+F543</f>
        <v>328.14</v>
      </c>
      <c r="G545" s="34" t="s">
        <v>726</v>
      </c>
      <c r="H545" s="34">
        <f>H535+H539+H543</f>
        <v>328.14</v>
      </c>
    </row>
    <row r="546" spans="1:8" ht="22.5" customHeight="1" x14ac:dyDescent="0.25">
      <c r="A546" s="66">
        <v>17</v>
      </c>
      <c r="B546" s="68" t="s">
        <v>190</v>
      </c>
      <c r="C546" s="3" t="s">
        <v>8</v>
      </c>
      <c r="D546" s="3" t="s">
        <v>928</v>
      </c>
      <c r="E546" s="4">
        <f>E547+E598</f>
        <v>497553.59</v>
      </c>
      <c r="F546" s="4">
        <f>F547+F598</f>
        <v>142745.12</v>
      </c>
      <c r="G546" s="4" t="s">
        <v>929</v>
      </c>
      <c r="H546" s="4">
        <f>H547+H598</f>
        <v>142745.12</v>
      </c>
    </row>
    <row r="547" spans="1:8" ht="15.75" customHeight="1" x14ac:dyDescent="0.25">
      <c r="A547" s="67"/>
      <c r="B547" s="69"/>
      <c r="C547" s="5" t="s">
        <v>21</v>
      </c>
      <c r="D547" s="5" t="s">
        <v>930</v>
      </c>
      <c r="E547" s="6">
        <f>E548+E549+E550+E551+E552+E553+E554+E555+E556+E557+E558+E559+E560+E561+E562+E563+E564+E565+E566+E567+E568+E571+E573+E574+E575+E576+E577+E578+E589+E590+E591+E592+E593+E594+E595+E596+E597</f>
        <v>280557.19</v>
      </c>
      <c r="F547" s="6">
        <f>F548+F549+F550+F551+F552+F553+F554+F555+F556+F557+F558+F559+F560+F561+F562+F563+F564+F565+F566+F567+F568+F571+F573+F574+F575+F576+F577+F578+F589+F590+F591+F592+F593+F594+F595+F596+F597</f>
        <v>77971.7</v>
      </c>
      <c r="G547" s="6" t="s">
        <v>931</v>
      </c>
      <c r="H547" s="6">
        <f>H548+H549+H550+H551+H552+H553+H554+H555+H556+H557+H558+H559+H560+H561+H562+H563+H564+H565+H566+H567+H568+H571+H573+H574+H575+H576+H577+H578+H589+H590+H591+H592+H593+H594+H595+H596+H597</f>
        <v>77971.7</v>
      </c>
    </row>
    <row r="548" spans="1:8" ht="15.75" customHeight="1" x14ac:dyDescent="0.25">
      <c r="A548" s="67"/>
      <c r="B548" s="69"/>
      <c r="C548" s="7" t="s">
        <v>258</v>
      </c>
      <c r="D548" s="5" t="s">
        <v>932</v>
      </c>
      <c r="E548" s="6">
        <f>0</f>
        <v>0</v>
      </c>
      <c r="F548" s="6">
        <f>0</f>
        <v>0</v>
      </c>
      <c r="G548" s="6" t="s">
        <v>10</v>
      </c>
      <c r="H548" s="6">
        <f>0</f>
        <v>0</v>
      </c>
    </row>
    <row r="549" spans="1:8" ht="15.75" customHeight="1" x14ac:dyDescent="0.25">
      <c r="A549" s="67"/>
      <c r="B549" s="69"/>
      <c r="C549" s="7" t="s">
        <v>262</v>
      </c>
      <c r="D549" s="5" t="s">
        <v>933</v>
      </c>
      <c r="E549" s="6">
        <f>0</f>
        <v>0</v>
      </c>
      <c r="F549" s="6">
        <f>0</f>
        <v>0</v>
      </c>
      <c r="G549" s="6" t="s">
        <v>10</v>
      </c>
      <c r="H549" s="6">
        <f>0</f>
        <v>0</v>
      </c>
    </row>
    <row r="550" spans="1:8" ht="15.75" customHeight="1" x14ac:dyDescent="0.25">
      <c r="A550" s="67"/>
      <c r="B550" s="69"/>
      <c r="C550" s="7" t="s">
        <v>271</v>
      </c>
      <c r="D550" s="5" t="s">
        <v>934</v>
      </c>
      <c r="E550" s="6">
        <f>0</f>
        <v>0</v>
      </c>
      <c r="F550" s="6">
        <f>0</f>
        <v>0</v>
      </c>
      <c r="G550" s="6" t="s">
        <v>10</v>
      </c>
      <c r="H550" s="6">
        <f>0</f>
        <v>0</v>
      </c>
    </row>
    <row r="551" spans="1:8" ht="15.75" customHeight="1" x14ac:dyDescent="0.25">
      <c r="A551" s="67"/>
      <c r="B551" s="69"/>
      <c r="C551" s="7" t="s">
        <v>266</v>
      </c>
      <c r="D551" s="5" t="s">
        <v>935</v>
      </c>
      <c r="E551" s="6">
        <f>0</f>
        <v>0</v>
      </c>
      <c r="F551" s="6">
        <f>0</f>
        <v>0</v>
      </c>
      <c r="G551" s="6" t="s">
        <v>10</v>
      </c>
      <c r="H551" s="6">
        <f>0</f>
        <v>0</v>
      </c>
    </row>
    <row r="552" spans="1:8" ht="15.75" customHeight="1" x14ac:dyDescent="0.25">
      <c r="A552" s="67"/>
      <c r="B552" s="69"/>
      <c r="C552" s="7" t="s">
        <v>267</v>
      </c>
      <c r="D552" s="5" t="s">
        <v>936</v>
      </c>
      <c r="E552" s="6">
        <f>0</f>
        <v>0</v>
      </c>
      <c r="F552" s="6">
        <f>0</f>
        <v>0</v>
      </c>
      <c r="G552" s="6" t="s">
        <v>10</v>
      </c>
      <c r="H552" s="6">
        <f>0</f>
        <v>0</v>
      </c>
    </row>
    <row r="553" spans="1:8" ht="15.75" customHeight="1" x14ac:dyDescent="0.25">
      <c r="A553" s="67"/>
      <c r="B553" s="69"/>
      <c r="C553" s="7" t="s">
        <v>283</v>
      </c>
      <c r="D553" s="5" t="s">
        <v>937</v>
      </c>
      <c r="E553" s="6">
        <f>0</f>
        <v>0</v>
      </c>
      <c r="F553" s="6">
        <f>0</f>
        <v>0</v>
      </c>
      <c r="G553" s="6" t="s">
        <v>10</v>
      </c>
      <c r="H553" s="6">
        <f>0</f>
        <v>0</v>
      </c>
    </row>
    <row r="554" spans="1:8" ht="23.25" customHeight="1" x14ac:dyDescent="0.25">
      <c r="A554" s="67"/>
      <c r="B554" s="69"/>
      <c r="C554" s="7" t="s">
        <v>284</v>
      </c>
      <c r="D554" s="5" t="s">
        <v>938</v>
      </c>
      <c r="E554" s="6">
        <f>0</f>
        <v>0</v>
      </c>
      <c r="F554" s="6">
        <f>0</f>
        <v>0</v>
      </c>
      <c r="G554" s="6" t="s">
        <v>10</v>
      </c>
      <c r="H554" s="6">
        <f>0</f>
        <v>0</v>
      </c>
    </row>
    <row r="555" spans="1:8" ht="16.5" customHeight="1" x14ac:dyDescent="0.25">
      <c r="A555" s="67"/>
      <c r="B555" s="69"/>
      <c r="C555" s="7" t="s">
        <v>285</v>
      </c>
      <c r="D555" s="5" t="s">
        <v>939</v>
      </c>
      <c r="E555" s="6">
        <f>5600</f>
        <v>5600</v>
      </c>
      <c r="F555" s="6">
        <f>0</f>
        <v>0</v>
      </c>
      <c r="G555" s="6" t="s">
        <v>47</v>
      </c>
      <c r="H555" s="6">
        <f>0</f>
        <v>0</v>
      </c>
    </row>
    <row r="556" spans="1:8" ht="15.75" customHeight="1" x14ac:dyDescent="0.25">
      <c r="A556" s="67"/>
      <c r="B556" s="69"/>
      <c r="C556" s="7" t="s">
        <v>286</v>
      </c>
      <c r="D556" s="5" t="s">
        <v>940</v>
      </c>
      <c r="E556" s="6">
        <f>0</f>
        <v>0</v>
      </c>
      <c r="F556" s="6">
        <f>0</f>
        <v>0</v>
      </c>
      <c r="G556" s="6" t="s">
        <v>10</v>
      </c>
      <c r="H556" s="6">
        <f>0</f>
        <v>0</v>
      </c>
    </row>
    <row r="557" spans="1:8" ht="22.5" customHeight="1" x14ac:dyDescent="0.25">
      <c r="A557" s="67"/>
      <c r="B557" s="69"/>
      <c r="C557" s="7" t="s">
        <v>332</v>
      </c>
      <c r="D557" s="5" t="s">
        <v>941</v>
      </c>
      <c r="E557" s="6">
        <f>0</f>
        <v>0</v>
      </c>
      <c r="F557" s="6">
        <f>0</f>
        <v>0</v>
      </c>
      <c r="G557" s="6" t="s">
        <v>10</v>
      </c>
      <c r="H557" s="6">
        <f>0</f>
        <v>0</v>
      </c>
    </row>
    <row r="558" spans="1:8" ht="24" x14ac:dyDescent="0.25">
      <c r="A558" s="67"/>
      <c r="B558" s="69"/>
      <c r="C558" s="7" t="s">
        <v>344</v>
      </c>
      <c r="D558" s="5" t="s">
        <v>942</v>
      </c>
      <c r="E558" s="6">
        <f>0</f>
        <v>0</v>
      </c>
      <c r="F558" s="6">
        <f>0</f>
        <v>0</v>
      </c>
      <c r="G558" s="6" t="s">
        <v>10</v>
      </c>
      <c r="H558" s="6">
        <f>0</f>
        <v>0</v>
      </c>
    </row>
    <row r="559" spans="1:8" ht="24" x14ac:dyDescent="0.25">
      <c r="A559" s="67"/>
      <c r="B559" s="69"/>
      <c r="C559" s="7" t="s">
        <v>649</v>
      </c>
      <c r="D559" s="5" t="s">
        <v>943</v>
      </c>
      <c r="E559" s="6">
        <f>0</f>
        <v>0</v>
      </c>
      <c r="F559" s="6">
        <f>0</f>
        <v>0</v>
      </c>
      <c r="G559" s="6" t="s">
        <v>10</v>
      </c>
      <c r="H559" s="6">
        <f>0</f>
        <v>0</v>
      </c>
    </row>
    <row r="560" spans="1:8" ht="24" x14ac:dyDescent="0.25">
      <c r="A560" s="67"/>
      <c r="B560" s="69"/>
      <c r="C560" s="7" t="s">
        <v>650</v>
      </c>
      <c r="D560" s="5" t="s">
        <v>944</v>
      </c>
      <c r="E560" s="6">
        <f>0</f>
        <v>0</v>
      </c>
      <c r="F560" s="6">
        <f>0</f>
        <v>0</v>
      </c>
      <c r="G560" s="6" t="s">
        <v>10</v>
      </c>
      <c r="H560" s="6">
        <f>0</f>
        <v>0</v>
      </c>
    </row>
    <row r="561" spans="1:8" ht="15.75" customHeight="1" x14ac:dyDescent="0.25">
      <c r="A561" s="67"/>
      <c r="B561" s="69"/>
      <c r="C561" s="7" t="s">
        <v>651</v>
      </c>
      <c r="D561" s="5" t="s">
        <v>945</v>
      </c>
      <c r="E561" s="6">
        <f>0</f>
        <v>0</v>
      </c>
      <c r="F561" s="6">
        <f>0</f>
        <v>0</v>
      </c>
      <c r="G561" s="6" t="s">
        <v>10</v>
      </c>
      <c r="H561" s="6">
        <f>0</f>
        <v>0</v>
      </c>
    </row>
    <row r="562" spans="1:8" ht="15.75" customHeight="1" x14ac:dyDescent="0.25">
      <c r="A562" s="67"/>
      <c r="B562" s="69"/>
      <c r="C562" s="7" t="s">
        <v>652</v>
      </c>
      <c r="D562" s="5" t="s">
        <v>946</v>
      </c>
      <c r="E562" s="6">
        <f>0</f>
        <v>0</v>
      </c>
      <c r="F562" s="6">
        <f>0</f>
        <v>0</v>
      </c>
      <c r="G562" s="6" t="s">
        <v>10</v>
      </c>
      <c r="H562" s="6">
        <f>0</f>
        <v>0</v>
      </c>
    </row>
    <row r="563" spans="1:8" ht="15.75" customHeight="1" x14ac:dyDescent="0.25">
      <c r="A563" s="67"/>
      <c r="B563" s="69"/>
      <c r="C563" s="7" t="s">
        <v>653</v>
      </c>
      <c r="D563" s="5" t="s">
        <v>947</v>
      </c>
      <c r="E563" s="6">
        <f>0</f>
        <v>0</v>
      </c>
      <c r="F563" s="6">
        <f>0</f>
        <v>0</v>
      </c>
      <c r="G563" s="6" t="s">
        <v>10</v>
      </c>
      <c r="H563" s="6">
        <f>0</f>
        <v>0</v>
      </c>
    </row>
    <row r="564" spans="1:8" ht="15.75" customHeight="1" x14ac:dyDescent="0.25">
      <c r="A564" s="67"/>
      <c r="B564" s="69"/>
      <c r="C564" s="7" t="s">
        <v>345</v>
      </c>
      <c r="D564" s="5" t="s">
        <v>948</v>
      </c>
      <c r="E564" s="6">
        <f>0</f>
        <v>0</v>
      </c>
      <c r="F564" s="6">
        <f>0</f>
        <v>0</v>
      </c>
      <c r="G564" s="6" t="s">
        <v>10</v>
      </c>
      <c r="H564" s="6">
        <f>0</f>
        <v>0</v>
      </c>
    </row>
    <row r="565" spans="1:8" ht="15.75" customHeight="1" x14ac:dyDescent="0.25">
      <c r="A565" s="67"/>
      <c r="B565" s="69"/>
      <c r="C565" s="7" t="s">
        <v>654</v>
      </c>
      <c r="D565" s="5" t="s">
        <v>949</v>
      </c>
      <c r="E565" s="6">
        <f>0</f>
        <v>0</v>
      </c>
      <c r="F565" s="6">
        <f>0</f>
        <v>0</v>
      </c>
      <c r="G565" s="6" t="s">
        <v>10</v>
      </c>
      <c r="H565" s="6">
        <f>0</f>
        <v>0</v>
      </c>
    </row>
    <row r="566" spans="1:8" ht="15.75" customHeight="1" x14ac:dyDescent="0.25">
      <c r="A566" s="67"/>
      <c r="B566" s="69"/>
      <c r="C566" s="7" t="s">
        <v>655</v>
      </c>
      <c r="D566" s="5" t="s">
        <v>950</v>
      </c>
      <c r="E566" s="6">
        <f>0</f>
        <v>0</v>
      </c>
      <c r="F566" s="6">
        <f>0</f>
        <v>0</v>
      </c>
      <c r="G566" s="6" t="s">
        <v>10</v>
      </c>
      <c r="H566" s="6">
        <f>0</f>
        <v>0</v>
      </c>
    </row>
    <row r="567" spans="1:8" ht="24" x14ac:dyDescent="0.25">
      <c r="A567" s="67"/>
      <c r="B567" s="69"/>
      <c r="C567" s="7" t="s">
        <v>656</v>
      </c>
      <c r="D567" s="5" t="s">
        <v>951</v>
      </c>
      <c r="E567" s="6">
        <f>0</f>
        <v>0</v>
      </c>
      <c r="F567" s="6">
        <f>0</f>
        <v>0</v>
      </c>
      <c r="G567" s="6" t="s">
        <v>10</v>
      </c>
      <c r="H567" s="6">
        <f>0</f>
        <v>0</v>
      </c>
    </row>
    <row r="568" spans="1:8" ht="24" x14ac:dyDescent="0.25">
      <c r="A568" s="67"/>
      <c r="B568" s="69"/>
      <c r="C568" s="7" t="s">
        <v>657</v>
      </c>
      <c r="D568" s="5" t="s">
        <v>952</v>
      </c>
      <c r="E568" s="6">
        <f>E569+E570</f>
        <v>145057.83000000002</v>
      </c>
      <c r="F568" s="6">
        <f>F569+F570</f>
        <v>4875.5</v>
      </c>
      <c r="G568" s="6" t="s">
        <v>953</v>
      </c>
      <c r="H568" s="6">
        <f>H569+H570</f>
        <v>4875.5</v>
      </c>
    </row>
    <row r="569" spans="1:8" ht="24" x14ac:dyDescent="0.25">
      <c r="A569" s="67"/>
      <c r="B569" s="69"/>
      <c r="C569" s="7" t="s">
        <v>954</v>
      </c>
      <c r="D569" s="5" t="s">
        <v>952</v>
      </c>
      <c r="E569" s="6">
        <f>133173.2+7009.13</f>
        <v>140182.33000000002</v>
      </c>
      <c r="F569" s="6">
        <f>0</f>
        <v>0</v>
      </c>
      <c r="G569" s="6" t="s">
        <v>47</v>
      </c>
      <c r="H569" s="6">
        <f>0</f>
        <v>0</v>
      </c>
    </row>
    <row r="570" spans="1:8" ht="18" customHeight="1" x14ac:dyDescent="0.25">
      <c r="A570" s="67"/>
      <c r="B570" s="69"/>
      <c r="C570" s="7" t="s">
        <v>955</v>
      </c>
      <c r="D570" s="5" t="s">
        <v>956</v>
      </c>
      <c r="E570" s="6">
        <f>4875.5</f>
        <v>4875.5</v>
      </c>
      <c r="F570" s="6">
        <f>4875.5</f>
        <v>4875.5</v>
      </c>
      <c r="G570" s="6" t="s">
        <v>282</v>
      </c>
      <c r="H570" s="6">
        <f>4875.5</f>
        <v>4875.5</v>
      </c>
    </row>
    <row r="571" spans="1:8" ht="17.25" customHeight="1" x14ac:dyDescent="0.25">
      <c r="A571" s="67"/>
      <c r="B571" s="69"/>
      <c r="C571" s="7" t="s">
        <v>658</v>
      </c>
      <c r="D571" s="5" t="s">
        <v>957</v>
      </c>
      <c r="E571" s="6">
        <f>E572</f>
        <v>180.5</v>
      </c>
      <c r="F571" s="6">
        <f>F572</f>
        <v>80.5</v>
      </c>
      <c r="G571" s="6" t="s">
        <v>958</v>
      </c>
      <c r="H571" s="6">
        <f>H572</f>
        <v>80.5</v>
      </c>
    </row>
    <row r="572" spans="1:8" ht="24" x14ac:dyDescent="0.25">
      <c r="A572" s="67"/>
      <c r="B572" s="69"/>
      <c r="C572" s="7" t="s">
        <v>659</v>
      </c>
      <c r="D572" s="5" t="s">
        <v>959</v>
      </c>
      <c r="E572" s="6">
        <f>180.5</f>
        <v>180.5</v>
      </c>
      <c r="F572" s="6">
        <f>80.5</f>
        <v>80.5</v>
      </c>
      <c r="G572" s="6" t="s">
        <v>958</v>
      </c>
      <c r="H572" s="6">
        <f>80.5</f>
        <v>80.5</v>
      </c>
    </row>
    <row r="573" spans="1:8" ht="15.75" customHeight="1" x14ac:dyDescent="0.25">
      <c r="A573" s="67"/>
      <c r="B573" s="69"/>
      <c r="C573" s="7" t="s">
        <v>660</v>
      </c>
      <c r="D573" s="5" t="s">
        <v>960</v>
      </c>
      <c r="E573" s="6">
        <f>0</f>
        <v>0</v>
      </c>
      <c r="F573" s="6">
        <f>0</f>
        <v>0</v>
      </c>
      <c r="G573" s="6" t="s">
        <v>10</v>
      </c>
      <c r="H573" s="6">
        <f>0</f>
        <v>0</v>
      </c>
    </row>
    <row r="574" spans="1:8" ht="15.75" customHeight="1" x14ac:dyDescent="0.25">
      <c r="A574" s="67"/>
      <c r="B574" s="69"/>
      <c r="C574" s="7" t="s">
        <v>661</v>
      </c>
      <c r="D574" s="5" t="s">
        <v>961</v>
      </c>
      <c r="E574" s="6">
        <f>0</f>
        <v>0</v>
      </c>
      <c r="F574" s="6">
        <f>0</f>
        <v>0</v>
      </c>
      <c r="G574" s="6" t="s">
        <v>10</v>
      </c>
      <c r="H574" s="6">
        <f>0</f>
        <v>0</v>
      </c>
    </row>
    <row r="575" spans="1:8" ht="15.75" customHeight="1" x14ac:dyDescent="0.25">
      <c r="A575" s="67"/>
      <c r="B575" s="69"/>
      <c r="C575" s="7" t="s">
        <v>662</v>
      </c>
      <c r="D575" s="5" t="s">
        <v>962</v>
      </c>
      <c r="E575" s="6">
        <f>0</f>
        <v>0</v>
      </c>
      <c r="F575" s="6">
        <f>0</f>
        <v>0</v>
      </c>
      <c r="G575" s="6" t="s">
        <v>10</v>
      </c>
      <c r="H575" s="6">
        <f>0</f>
        <v>0</v>
      </c>
    </row>
    <row r="576" spans="1:8" ht="15.75" customHeight="1" x14ac:dyDescent="0.25">
      <c r="A576" s="67"/>
      <c r="B576" s="69"/>
      <c r="C576" s="7" t="s">
        <v>663</v>
      </c>
      <c r="D576" s="5" t="s">
        <v>963</v>
      </c>
      <c r="E576" s="6">
        <f>0</f>
        <v>0</v>
      </c>
      <c r="F576" s="6">
        <f>0</f>
        <v>0</v>
      </c>
      <c r="G576" s="6" t="s">
        <v>10</v>
      </c>
      <c r="H576" s="6">
        <f>0</f>
        <v>0</v>
      </c>
    </row>
    <row r="577" spans="1:8" ht="15.75" customHeight="1" x14ac:dyDescent="0.25">
      <c r="A577" s="67"/>
      <c r="B577" s="69"/>
      <c r="C577" s="7" t="s">
        <v>664</v>
      </c>
      <c r="D577" s="5" t="s">
        <v>964</v>
      </c>
      <c r="E577" s="6">
        <f>28592.04</f>
        <v>28592.04</v>
      </c>
      <c r="F577" s="6">
        <f>0</f>
        <v>0</v>
      </c>
      <c r="G577" s="6" t="s">
        <v>47</v>
      </c>
      <c r="H577" s="6">
        <f>0</f>
        <v>0</v>
      </c>
    </row>
    <row r="578" spans="1:8" ht="24" x14ac:dyDescent="0.25">
      <c r="A578" s="67"/>
      <c r="B578" s="69"/>
      <c r="C578" s="7" t="s">
        <v>665</v>
      </c>
      <c r="D578" s="5" t="s">
        <v>965</v>
      </c>
      <c r="E578" s="6">
        <f>E579+E580+E581+E582+E583+E584+E585+E586+E587+E588</f>
        <v>75742.819999999992</v>
      </c>
      <c r="F578" s="6">
        <f>F579+F580+F581+F582+F583+F584+F585+F586+F587+F588</f>
        <v>49795.040000000001</v>
      </c>
      <c r="G578" s="6" t="s">
        <v>966</v>
      </c>
      <c r="H578" s="6">
        <f>H579+H580+H581+H582+H583+H584+H585+H586+H587+H588</f>
        <v>49795.040000000001</v>
      </c>
    </row>
    <row r="579" spans="1:8" ht="16.5" customHeight="1" x14ac:dyDescent="0.25">
      <c r="A579" s="67"/>
      <c r="B579" s="69"/>
      <c r="C579" s="7" t="s">
        <v>667</v>
      </c>
      <c r="D579" s="5" t="s">
        <v>967</v>
      </c>
      <c r="E579" s="6">
        <f>0</f>
        <v>0</v>
      </c>
      <c r="F579" s="6">
        <f>0</f>
        <v>0</v>
      </c>
      <c r="G579" s="6" t="s">
        <v>10</v>
      </c>
      <c r="H579" s="6">
        <f>0</f>
        <v>0</v>
      </c>
    </row>
    <row r="580" spans="1:8" ht="24" x14ac:dyDescent="0.25">
      <c r="A580" s="67"/>
      <c r="B580" s="69"/>
      <c r="C580" s="7" t="s">
        <v>668</v>
      </c>
      <c r="D580" s="5" t="s">
        <v>968</v>
      </c>
      <c r="E580" s="6">
        <f>0</f>
        <v>0</v>
      </c>
      <c r="F580" s="6">
        <f>0</f>
        <v>0</v>
      </c>
      <c r="G580" s="6" t="s">
        <v>10</v>
      </c>
      <c r="H580" s="6">
        <f>0</f>
        <v>0</v>
      </c>
    </row>
    <row r="581" spans="1:8" ht="16.5" customHeight="1" x14ac:dyDescent="0.25">
      <c r="A581" s="67"/>
      <c r="B581" s="69"/>
      <c r="C581" s="7" t="s">
        <v>669</v>
      </c>
      <c r="D581" s="5" t="s">
        <v>969</v>
      </c>
      <c r="E581" s="6">
        <f>0</f>
        <v>0</v>
      </c>
      <c r="F581" s="6">
        <f>0</f>
        <v>0</v>
      </c>
      <c r="G581" s="6" t="s">
        <v>10</v>
      </c>
      <c r="H581" s="6">
        <f>0</f>
        <v>0</v>
      </c>
    </row>
    <row r="582" spans="1:8" ht="48" x14ac:dyDescent="0.25">
      <c r="A582" s="67"/>
      <c r="B582" s="69"/>
      <c r="C582" s="7" t="s">
        <v>670</v>
      </c>
      <c r="D582" s="5" t="s">
        <v>970</v>
      </c>
      <c r="E582" s="6">
        <f>0</f>
        <v>0</v>
      </c>
      <c r="F582" s="6">
        <f>0</f>
        <v>0</v>
      </c>
      <c r="G582" s="6" t="s">
        <v>10</v>
      </c>
      <c r="H582" s="6">
        <f>0</f>
        <v>0</v>
      </c>
    </row>
    <row r="583" spans="1:8" ht="18" customHeight="1" x14ac:dyDescent="0.25">
      <c r="A583" s="67"/>
      <c r="B583" s="69"/>
      <c r="C583" s="7" t="s">
        <v>671</v>
      </c>
      <c r="D583" s="5" t="s">
        <v>971</v>
      </c>
      <c r="E583" s="6">
        <f>52115.77</f>
        <v>52115.77</v>
      </c>
      <c r="F583" s="6">
        <f>44726.66</f>
        <v>44726.66</v>
      </c>
      <c r="G583" s="6" t="s">
        <v>972</v>
      </c>
      <c r="H583" s="6">
        <f>44726.66</f>
        <v>44726.66</v>
      </c>
    </row>
    <row r="584" spans="1:8" ht="24" x14ac:dyDescent="0.25">
      <c r="A584" s="67"/>
      <c r="B584" s="69"/>
      <c r="C584" s="7" t="s">
        <v>672</v>
      </c>
      <c r="D584" s="5" t="s">
        <v>973</v>
      </c>
      <c r="E584" s="6">
        <f>1760</f>
        <v>1760</v>
      </c>
      <c r="F584" s="6">
        <f>568.38</f>
        <v>568.38</v>
      </c>
      <c r="G584" s="6" t="s">
        <v>974</v>
      </c>
      <c r="H584" s="6">
        <f>568.38</f>
        <v>568.38</v>
      </c>
    </row>
    <row r="585" spans="1:8" ht="16.5" customHeight="1" x14ac:dyDescent="0.25">
      <c r="A585" s="67"/>
      <c r="B585" s="69"/>
      <c r="C585" s="7" t="s">
        <v>673</v>
      </c>
      <c r="D585" s="5" t="s">
        <v>975</v>
      </c>
      <c r="E585" s="6">
        <f>4500</f>
        <v>4500</v>
      </c>
      <c r="F585" s="6">
        <f>4500</f>
        <v>4500</v>
      </c>
      <c r="G585" s="6" t="s">
        <v>282</v>
      </c>
      <c r="H585" s="6">
        <f>4500</f>
        <v>4500</v>
      </c>
    </row>
    <row r="586" spans="1:8" ht="16.5" customHeight="1" x14ac:dyDescent="0.25">
      <c r="A586" s="67"/>
      <c r="B586" s="69"/>
      <c r="C586" s="7" t="s">
        <v>674</v>
      </c>
      <c r="D586" s="5" t="s">
        <v>976</v>
      </c>
      <c r="E586" s="6">
        <f>0</f>
        <v>0</v>
      </c>
      <c r="F586" s="6">
        <f>0</f>
        <v>0</v>
      </c>
      <c r="G586" s="6" t="s">
        <v>10</v>
      </c>
      <c r="H586" s="6">
        <f>0</f>
        <v>0</v>
      </c>
    </row>
    <row r="587" spans="1:8" ht="36" x14ac:dyDescent="0.25">
      <c r="A587" s="67"/>
      <c r="B587" s="69"/>
      <c r="C587" s="7" t="s">
        <v>977</v>
      </c>
      <c r="D587" s="5" t="s">
        <v>978</v>
      </c>
      <c r="E587" s="6">
        <f>6000</f>
        <v>6000</v>
      </c>
      <c r="F587" s="6">
        <f>0</f>
        <v>0</v>
      </c>
      <c r="G587" s="6" t="s">
        <v>47</v>
      </c>
      <c r="H587" s="6">
        <f>0</f>
        <v>0</v>
      </c>
    </row>
    <row r="588" spans="1:8" ht="17.25" customHeight="1" x14ac:dyDescent="0.25">
      <c r="A588" s="67"/>
      <c r="B588" s="69"/>
      <c r="C588" s="7" t="s">
        <v>979</v>
      </c>
      <c r="D588" s="5" t="s">
        <v>980</v>
      </c>
      <c r="E588" s="6">
        <f>11367.05</f>
        <v>11367.05</v>
      </c>
      <c r="F588" s="6">
        <f>0</f>
        <v>0</v>
      </c>
      <c r="G588" s="6" t="s">
        <v>47</v>
      </c>
      <c r="H588" s="6">
        <f>0</f>
        <v>0</v>
      </c>
    </row>
    <row r="589" spans="1:8" ht="24" x14ac:dyDescent="0.25">
      <c r="A589" s="67"/>
      <c r="B589" s="69"/>
      <c r="C589" s="7" t="s">
        <v>675</v>
      </c>
      <c r="D589" s="5" t="s">
        <v>981</v>
      </c>
      <c r="E589" s="6">
        <f>0</f>
        <v>0</v>
      </c>
      <c r="F589" s="6">
        <f>0</f>
        <v>0</v>
      </c>
      <c r="G589" s="6" t="s">
        <v>10</v>
      </c>
      <c r="H589" s="6">
        <f>0</f>
        <v>0</v>
      </c>
    </row>
    <row r="590" spans="1:8" ht="16.5" customHeight="1" x14ac:dyDescent="0.25">
      <c r="A590" s="67"/>
      <c r="B590" s="69"/>
      <c r="C590" s="7" t="s">
        <v>676</v>
      </c>
      <c r="D590" s="5" t="s">
        <v>976</v>
      </c>
      <c r="E590" s="6">
        <f>0</f>
        <v>0</v>
      </c>
      <c r="F590" s="6">
        <f>0</f>
        <v>0</v>
      </c>
      <c r="G590" s="6" t="s">
        <v>10</v>
      </c>
      <c r="H590" s="6">
        <f>0</f>
        <v>0</v>
      </c>
    </row>
    <row r="591" spans="1:8" ht="16.5" customHeight="1" x14ac:dyDescent="0.25">
      <c r="A591" s="67"/>
      <c r="B591" s="69"/>
      <c r="C591" s="7" t="s">
        <v>677</v>
      </c>
      <c r="D591" s="5" t="s">
        <v>982</v>
      </c>
      <c r="E591" s="6">
        <f>0</f>
        <v>0</v>
      </c>
      <c r="F591" s="6">
        <f>0</f>
        <v>0</v>
      </c>
      <c r="G591" s="6" t="s">
        <v>10</v>
      </c>
      <c r="H591" s="6">
        <f>0</f>
        <v>0</v>
      </c>
    </row>
    <row r="592" spans="1:8" ht="16.5" customHeight="1" x14ac:dyDescent="0.25">
      <c r="A592" s="67"/>
      <c r="B592" s="69"/>
      <c r="C592" s="7" t="s">
        <v>678</v>
      </c>
      <c r="D592" s="5" t="s">
        <v>983</v>
      </c>
      <c r="E592" s="6">
        <f>0</f>
        <v>0</v>
      </c>
      <c r="F592" s="6">
        <f>0</f>
        <v>0</v>
      </c>
      <c r="G592" s="6" t="s">
        <v>10</v>
      </c>
      <c r="H592" s="6">
        <f>0</f>
        <v>0</v>
      </c>
    </row>
    <row r="593" spans="1:8" ht="16.5" customHeight="1" x14ac:dyDescent="0.25">
      <c r="A593" s="67"/>
      <c r="B593" s="69"/>
      <c r="C593" s="7" t="s">
        <v>679</v>
      </c>
      <c r="D593" s="5" t="s">
        <v>984</v>
      </c>
      <c r="E593" s="6">
        <f>25384</f>
        <v>25384</v>
      </c>
      <c r="F593" s="6">
        <f>23220.66</f>
        <v>23220.66</v>
      </c>
      <c r="G593" s="6" t="s">
        <v>985</v>
      </c>
      <c r="H593" s="6">
        <f>23220.66</f>
        <v>23220.66</v>
      </c>
    </row>
    <row r="594" spans="1:8" ht="16.5" customHeight="1" x14ac:dyDescent="0.25">
      <c r="A594" s="67"/>
      <c r="B594" s="69"/>
      <c r="C594" s="7" t="s">
        <v>680</v>
      </c>
      <c r="D594" s="5" t="s">
        <v>986</v>
      </c>
      <c r="E594" s="6">
        <f>0</f>
        <v>0</v>
      </c>
      <c r="F594" s="6">
        <f>0</f>
        <v>0</v>
      </c>
      <c r="G594" s="6" t="s">
        <v>10</v>
      </c>
      <c r="H594" s="6">
        <f>0</f>
        <v>0</v>
      </c>
    </row>
    <row r="595" spans="1:8" ht="16.5" customHeight="1" x14ac:dyDescent="0.25">
      <c r="A595" s="67"/>
      <c r="B595" s="69"/>
      <c r="C595" s="7" t="s">
        <v>681</v>
      </c>
      <c r="D595" s="5" t="s">
        <v>987</v>
      </c>
      <c r="E595" s="6">
        <f>0</f>
        <v>0</v>
      </c>
      <c r="F595" s="6">
        <f>0</f>
        <v>0</v>
      </c>
      <c r="G595" s="6" t="s">
        <v>10</v>
      </c>
      <c r="H595" s="6">
        <f>0</f>
        <v>0</v>
      </c>
    </row>
    <row r="596" spans="1:8" ht="16.5" customHeight="1" x14ac:dyDescent="0.25">
      <c r="A596" s="67"/>
      <c r="B596" s="69"/>
      <c r="C596" s="7" t="s">
        <v>682</v>
      </c>
      <c r="D596" s="5" t="s">
        <v>988</v>
      </c>
      <c r="E596" s="6">
        <f>0</f>
        <v>0</v>
      </c>
      <c r="F596" s="6">
        <f>0</f>
        <v>0</v>
      </c>
      <c r="G596" s="6" t="s">
        <v>10</v>
      </c>
      <c r="H596" s="6">
        <f>0</f>
        <v>0</v>
      </c>
    </row>
    <row r="597" spans="1:8" ht="24" x14ac:dyDescent="0.25">
      <c r="A597" s="67"/>
      <c r="B597" s="69"/>
      <c r="C597" s="7" t="s">
        <v>683</v>
      </c>
      <c r="D597" s="5" t="s">
        <v>989</v>
      </c>
      <c r="E597" s="6">
        <f>0</f>
        <v>0</v>
      </c>
      <c r="F597" s="6">
        <f>0</f>
        <v>0</v>
      </c>
      <c r="G597" s="6" t="s">
        <v>10</v>
      </c>
      <c r="H597" s="6">
        <f>0</f>
        <v>0</v>
      </c>
    </row>
    <row r="598" spans="1:8" ht="18" customHeight="1" x14ac:dyDescent="0.25">
      <c r="A598" s="67"/>
      <c r="B598" s="69"/>
      <c r="C598" s="5" t="s">
        <v>684</v>
      </c>
      <c r="D598" s="5" t="s">
        <v>990</v>
      </c>
      <c r="E598" s="6">
        <f>E599+E600+E603+E604+E605+E606+E607+E608+E609+E610</f>
        <v>216996.40000000002</v>
      </c>
      <c r="F598" s="6">
        <f>F599+F600+F603+F604+F605+F606+F607+F608+F609+F610</f>
        <v>64773.42</v>
      </c>
      <c r="G598" s="6" t="s">
        <v>991</v>
      </c>
      <c r="H598" s="6">
        <f>H599+H600+H603+H604+H605+H606+H607+H608+H609+H610</f>
        <v>64773.42</v>
      </c>
    </row>
    <row r="599" spans="1:8" ht="18" customHeight="1" x14ac:dyDescent="0.25">
      <c r="A599" s="67"/>
      <c r="B599" s="69"/>
      <c r="C599" s="7" t="s">
        <v>685</v>
      </c>
      <c r="D599" s="5" t="s">
        <v>992</v>
      </c>
      <c r="E599" s="6">
        <f>0</f>
        <v>0</v>
      </c>
      <c r="F599" s="6">
        <f>0</f>
        <v>0</v>
      </c>
      <c r="G599" s="6" t="s">
        <v>10</v>
      </c>
      <c r="H599" s="6">
        <f>0</f>
        <v>0</v>
      </c>
    </row>
    <row r="600" spans="1:8" ht="18" customHeight="1" x14ac:dyDescent="0.25">
      <c r="A600" s="67"/>
      <c r="B600" s="69"/>
      <c r="C600" s="7" t="s">
        <v>686</v>
      </c>
      <c r="D600" s="5" t="s">
        <v>993</v>
      </c>
      <c r="E600" s="6">
        <f>E601+E602</f>
        <v>216996.40000000002</v>
      </c>
      <c r="F600" s="6">
        <f>F601+F602</f>
        <v>64773.42</v>
      </c>
      <c r="G600" s="6" t="s">
        <v>991</v>
      </c>
      <c r="H600" s="6">
        <f>H601+H602</f>
        <v>64773.42</v>
      </c>
    </row>
    <row r="601" spans="1:8" ht="18" customHeight="1" x14ac:dyDescent="0.25">
      <c r="A601" s="67"/>
      <c r="B601" s="69"/>
      <c r="C601" s="7" t="s">
        <v>687</v>
      </c>
      <c r="D601" s="5" t="s">
        <v>994</v>
      </c>
      <c r="E601" s="6">
        <f>123525.19+52296.14+41175.07</f>
        <v>216996.40000000002</v>
      </c>
      <c r="F601" s="6">
        <f>36872.27+15610.4+12290.75</f>
        <v>64773.42</v>
      </c>
      <c r="G601" s="6" t="s">
        <v>991</v>
      </c>
      <c r="H601" s="6">
        <f>36872.27+15610.4+12290.75</f>
        <v>64773.42</v>
      </c>
    </row>
    <row r="602" spans="1:8" ht="18" customHeight="1" x14ac:dyDescent="0.25">
      <c r="A602" s="67"/>
      <c r="B602" s="69"/>
      <c r="C602" s="7" t="s">
        <v>688</v>
      </c>
      <c r="D602" s="5" t="s">
        <v>995</v>
      </c>
      <c r="E602" s="6">
        <f>0</f>
        <v>0</v>
      </c>
      <c r="F602" s="6">
        <f>0</f>
        <v>0</v>
      </c>
      <c r="G602" s="6" t="s">
        <v>10</v>
      </c>
      <c r="H602" s="6">
        <f>0</f>
        <v>0</v>
      </c>
    </row>
    <row r="603" spans="1:8" ht="24" x14ac:dyDescent="0.25">
      <c r="A603" s="67"/>
      <c r="B603" s="69"/>
      <c r="C603" s="7" t="s">
        <v>689</v>
      </c>
      <c r="D603" s="5" t="s">
        <v>996</v>
      </c>
      <c r="E603" s="6">
        <f>0</f>
        <v>0</v>
      </c>
      <c r="F603" s="6">
        <f>0</f>
        <v>0</v>
      </c>
      <c r="G603" s="6" t="s">
        <v>10</v>
      </c>
      <c r="H603" s="6">
        <f>0</f>
        <v>0</v>
      </c>
    </row>
    <row r="604" spans="1:8" ht="24" x14ac:dyDescent="0.25">
      <c r="A604" s="67"/>
      <c r="B604" s="69"/>
      <c r="C604" s="7" t="s">
        <v>690</v>
      </c>
      <c r="D604" s="5" t="s">
        <v>997</v>
      </c>
      <c r="E604" s="6">
        <f>0</f>
        <v>0</v>
      </c>
      <c r="F604" s="6">
        <f>0</f>
        <v>0</v>
      </c>
      <c r="G604" s="6" t="s">
        <v>10</v>
      </c>
      <c r="H604" s="6">
        <f>0</f>
        <v>0</v>
      </c>
    </row>
    <row r="605" spans="1:8" ht="23.25" customHeight="1" x14ac:dyDescent="0.25">
      <c r="A605" s="67"/>
      <c r="B605" s="69"/>
      <c r="C605" s="7" t="s">
        <v>691</v>
      </c>
      <c r="D605" s="5" t="s">
        <v>998</v>
      </c>
      <c r="E605" s="6">
        <f>0</f>
        <v>0</v>
      </c>
      <c r="F605" s="6">
        <f>0</f>
        <v>0</v>
      </c>
      <c r="G605" s="6" t="s">
        <v>10</v>
      </c>
      <c r="H605" s="6">
        <f>0</f>
        <v>0</v>
      </c>
    </row>
    <row r="606" spans="1:8" ht="17.25" customHeight="1" x14ac:dyDescent="0.25">
      <c r="A606" s="67"/>
      <c r="B606" s="69"/>
      <c r="C606" s="7" t="s">
        <v>692</v>
      </c>
      <c r="D606" s="5" t="s">
        <v>999</v>
      </c>
      <c r="E606" s="6">
        <f>0</f>
        <v>0</v>
      </c>
      <c r="F606" s="6">
        <f>0</f>
        <v>0</v>
      </c>
      <c r="G606" s="6" t="s">
        <v>10</v>
      </c>
      <c r="H606" s="6">
        <f>0</f>
        <v>0</v>
      </c>
    </row>
    <row r="607" spans="1:8" ht="24" x14ac:dyDescent="0.25">
      <c r="A607" s="67"/>
      <c r="B607" s="69"/>
      <c r="C607" s="7" t="s">
        <v>693</v>
      </c>
      <c r="D607" s="5" t="s">
        <v>1000</v>
      </c>
      <c r="E607" s="6">
        <f>0</f>
        <v>0</v>
      </c>
      <c r="F607" s="6">
        <f>0</f>
        <v>0</v>
      </c>
      <c r="G607" s="6" t="s">
        <v>10</v>
      </c>
      <c r="H607" s="6">
        <f>0</f>
        <v>0</v>
      </c>
    </row>
    <row r="608" spans="1:8" ht="18" customHeight="1" x14ac:dyDescent="0.25">
      <c r="A608" s="67"/>
      <c r="B608" s="69"/>
      <c r="C608" s="7" t="s">
        <v>694</v>
      </c>
      <c r="D608" s="5" t="s">
        <v>1001</v>
      </c>
      <c r="E608" s="6">
        <f>0</f>
        <v>0</v>
      </c>
      <c r="F608" s="6">
        <f>0</f>
        <v>0</v>
      </c>
      <c r="G608" s="6" t="s">
        <v>10</v>
      </c>
      <c r="H608" s="6">
        <f>0</f>
        <v>0</v>
      </c>
    </row>
    <row r="609" spans="1:8" ht="22.5" customHeight="1" x14ac:dyDescent="0.25">
      <c r="A609" s="67"/>
      <c r="B609" s="69"/>
      <c r="C609" s="7" t="s">
        <v>695</v>
      </c>
      <c r="D609" s="5" t="s">
        <v>1002</v>
      </c>
      <c r="E609" s="6">
        <f>0</f>
        <v>0</v>
      </c>
      <c r="F609" s="6">
        <f>0</f>
        <v>0</v>
      </c>
      <c r="G609" s="6" t="s">
        <v>10</v>
      </c>
      <c r="H609" s="6">
        <f>0</f>
        <v>0</v>
      </c>
    </row>
    <row r="610" spans="1:8" ht="34.5" customHeight="1" x14ac:dyDescent="0.25">
      <c r="A610" s="67"/>
      <c r="B610" s="69"/>
      <c r="C610" s="7" t="s">
        <v>696</v>
      </c>
      <c r="D610" s="5" t="s">
        <v>1003</v>
      </c>
      <c r="E610" s="6">
        <f>0</f>
        <v>0</v>
      </c>
      <c r="F610" s="6">
        <f>0</f>
        <v>0</v>
      </c>
      <c r="G610" s="6" t="s">
        <v>10</v>
      </c>
      <c r="H610" s="6">
        <f>0</f>
        <v>0</v>
      </c>
    </row>
    <row r="611" spans="1:8" ht="19.5" customHeight="1" x14ac:dyDescent="0.25">
      <c r="A611" s="67"/>
      <c r="B611" s="69"/>
      <c r="C611" s="3" t="s">
        <v>20</v>
      </c>
      <c r="D611" s="3" t="s">
        <v>1004</v>
      </c>
      <c r="E611" s="4">
        <f>E612</f>
        <v>220116.06</v>
      </c>
      <c r="F611" s="4">
        <f>F612</f>
        <v>138434.23000000001</v>
      </c>
      <c r="G611" s="4" t="s">
        <v>1005</v>
      </c>
      <c r="H611" s="4">
        <f>H612</f>
        <v>138434.23000000001</v>
      </c>
    </row>
    <row r="612" spans="1:8" ht="17.25" customHeight="1" x14ac:dyDescent="0.25">
      <c r="A612" s="67"/>
      <c r="B612" s="69"/>
      <c r="C612" s="5" t="s">
        <v>21</v>
      </c>
      <c r="D612" s="5" t="s">
        <v>1006</v>
      </c>
      <c r="E612" s="6">
        <f>E613+E614+E615+E616+E617+E618+E619+E620+E621+E624+E625+E626+E629+E632+E637+E638+E641+E642+E643+E646+E647+E648</f>
        <v>220116.06</v>
      </c>
      <c r="F612" s="6">
        <f>F613+F614+F615+F616+F617+F618+F619+F620+F621+F624+F625+F626+F629+F632+F637+F638+F641+F642+F643+F646+F647+F648</f>
        <v>138434.23000000001</v>
      </c>
      <c r="G612" s="6" t="s">
        <v>1005</v>
      </c>
      <c r="H612" s="6">
        <f>H613+H614+H615+H616+H617+H618+H619+H620+H621+H624+H625+H626+H629+H632+H637+H638+H641+H642+H643+H646+H647+H648</f>
        <v>138434.23000000001</v>
      </c>
    </row>
    <row r="613" spans="1:8" ht="17.25" customHeight="1" x14ac:dyDescent="0.25">
      <c r="A613" s="67"/>
      <c r="B613" s="69"/>
      <c r="C613" s="7" t="s">
        <v>258</v>
      </c>
      <c r="D613" s="5" t="s">
        <v>1007</v>
      </c>
      <c r="E613" s="6">
        <f>0</f>
        <v>0</v>
      </c>
      <c r="F613" s="6">
        <f>0</f>
        <v>0</v>
      </c>
      <c r="G613" s="6" t="s">
        <v>10</v>
      </c>
      <c r="H613" s="6">
        <f>0</f>
        <v>0</v>
      </c>
    </row>
    <row r="614" spans="1:8" ht="17.25" customHeight="1" x14ac:dyDescent="0.25">
      <c r="A614" s="67"/>
      <c r="B614" s="69"/>
      <c r="C614" s="7" t="s">
        <v>262</v>
      </c>
      <c r="D614" s="5" t="s">
        <v>1008</v>
      </c>
      <c r="E614" s="6">
        <f>0</f>
        <v>0</v>
      </c>
      <c r="F614" s="6">
        <f>0</f>
        <v>0</v>
      </c>
      <c r="G614" s="6" t="s">
        <v>10</v>
      </c>
      <c r="H614" s="6">
        <f>0</f>
        <v>0</v>
      </c>
    </row>
    <row r="615" spans="1:8" ht="24" customHeight="1" x14ac:dyDescent="0.25">
      <c r="A615" s="67"/>
      <c r="B615" s="69"/>
      <c r="C615" s="7" t="s">
        <v>271</v>
      </c>
      <c r="D615" s="5" t="s">
        <v>1009</v>
      </c>
      <c r="E615" s="6">
        <f>0</f>
        <v>0</v>
      </c>
      <c r="F615" s="6">
        <f>0</f>
        <v>0</v>
      </c>
      <c r="G615" s="6" t="s">
        <v>10</v>
      </c>
      <c r="H615" s="6">
        <f>0</f>
        <v>0</v>
      </c>
    </row>
    <row r="616" spans="1:8" ht="16.5" customHeight="1" x14ac:dyDescent="0.25">
      <c r="A616" s="67"/>
      <c r="B616" s="69"/>
      <c r="C616" s="7" t="s">
        <v>266</v>
      </c>
      <c r="D616" s="5" t="s">
        <v>1010</v>
      </c>
      <c r="E616" s="6">
        <f>0</f>
        <v>0</v>
      </c>
      <c r="F616" s="6">
        <f>0</f>
        <v>0</v>
      </c>
      <c r="G616" s="6" t="s">
        <v>10</v>
      </c>
      <c r="H616" s="6">
        <f>0</f>
        <v>0</v>
      </c>
    </row>
    <row r="617" spans="1:8" ht="16.5" customHeight="1" x14ac:dyDescent="0.25">
      <c r="A617" s="67"/>
      <c r="B617" s="69"/>
      <c r="C617" s="7" t="s">
        <v>267</v>
      </c>
      <c r="D617" s="5" t="s">
        <v>1011</v>
      </c>
      <c r="E617" s="6">
        <f>0</f>
        <v>0</v>
      </c>
      <c r="F617" s="6">
        <f>0</f>
        <v>0</v>
      </c>
      <c r="G617" s="6" t="s">
        <v>10</v>
      </c>
      <c r="H617" s="6">
        <f>0</f>
        <v>0</v>
      </c>
    </row>
    <row r="618" spans="1:8" ht="16.5" customHeight="1" x14ac:dyDescent="0.25">
      <c r="A618" s="67"/>
      <c r="B618" s="69"/>
      <c r="C618" s="7" t="s">
        <v>283</v>
      </c>
      <c r="D618" s="5" t="s">
        <v>1012</v>
      </c>
      <c r="E618" s="6">
        <f>0</f>
        <v>0</v>
      </c>
      <c r="F618" s="6">
        <f>0</f>
        <v>0</v>
      </c>
      <c r="G618" s="6" t="s">
        <v>10</v>
      </c>
      <c r="H618" s="6">
        <f>0</f>
        <v>0</v>
      </c>
    </row>
    <row r="619" spans="1:8" ht="16.5" customHeight="1" x14ac:dyDescent="0.25">
      <c r="A619" s="67"/>
      <c r="B619" s="69"/>
      <c r="C619" s="7" t="s">
        <v>284</v>
      </c>
      <c r="D619" s="5" t="s">
        <v>1013</v>
      </c>
      <c r="E619" s="6">
        <f>0</f>
        <v>0</v>
      </c>
      <c r="F619" s="6">
        <f>0</f>
        <v>0</v>
      </c>
      <c r="G619" s="6" t="s">
        <v>10</v>
      </c>
      <c r="H619" s="6">
        <f>0</f>
        <v>0</v>
      </c>
    </row>
    <row r="620" spans="1:8" ht="16.5" customHeight="1" x14ac:dyDescent="0.25">
      <c r="A620" s="67"/>
      <c r="B620" s="69"/>
      <c r="C620" s="7" t="s">
        <v>285</v>
      </c>
      <c r="D620" s="5" t="s">
        <v>1014</v>
      </c>
      <c r="E620" s="6">
        <f>0</f>
        <v>0</v>
      </c>
      <c r="F620" s="6">
        <f>0</f>
        <v>0</v>
      </c>
      <c r="G620" s="6" t="s">
        <v>10</v>
      </c>
      <c r="H620" s="6">
        <f>0</f>
        <v>0</v>
      </c>
    </row>
    <row r="621" spans="1:8" ht="16.5" customHeight="1" x14ac:dyDescent="0.25">
      <c r="A621" s="67"/>
      <c r="B621" s="69"/>
      <c r="C621" s="7" t="s">
        <v>332</v>
      </c>
      <c r="D621" s="5" t="s">
        <v>1015</v>
      </c>
      <c r="E621" s="6">
        <f>E622+E623</f>
        <v>72016.12</v>
      </c>
      <c r="F621" s="6">
        <f>F622+F623</f>
        <v>49564.23</v>
      </c>
      <c r="G621" s="6" t="s">
        <v>845</v>
      </c>
      <c r="H621" s="6">
        <f>H622+H623</f>
        <v>49564.23</v>
      </c>
    </row>
    <row r="622" spans="1:8" ht="16.5" customHeight="1" x14ac:dyDescent="0.25">
      <c r="A622" s="67"/>
      <c r="B622" s="69"/>
      <c r="C622" s="7" t="s">
        <v>1016</v>
      </c>
      <c r="D622" s="5" t="s">
        <v>1017</v>
      </c>
      <c r="E622" s="6">
        <f>70816.12</f>
        <v>70816.12</v>
      </c>
      <c r="F622" s="6">
        <f>49264.23</f>
        <v>49264.23</v>
      </c>
      <c r="G622" s="6" t="s">
        <v>773</v>
      </c>
      <c r="H622" s="6">
        <f>49264.23</f>
        <v>49264.23</v>
      </c>
    </row>
    <row r="623" spans="1:8" ht="16.5" customHeight="1" x14ac:dyDescent="0.25">
      <c r="A623" s="67"/>
      <c r="B623" s="69"/>
      <c r="C623" s="7" t="s">
        <v>1018</v>
      </c>
      <c r="D623" s="5" t="s">
        <v>1019</v>
      </c>
      <c r="E623" s="6">
        <f>1200</f>
        <v>1200</v>
      </c>
      <c r="F623" s="6">
        <f>300</f>
        <v>300</v>
      </c>
      <c r="G623" s="6" t="s">
        <v>1020</v>
      </c>
      <c r="H623" s="6">
        <f>300</f>
        <v>300</v>
      </c>
    </row>
    <row r="624" spans="1:8" ht="16.5" customHeight="1" x14ac:dyDescent="0.25">
      <c r="A624" s="67"/>
      <c r="B624" s="69"/>
      <c r="C624" s="7" t="s">
        <v>344</v>
      </c>
      <c r="D624" s="5" t="s">
        <v>1021</v>
      </c>
      <c r="E624" s="6">
        <f>5672.27</f>
        <v>5672.27</v>
      </c>
      <c r="F624" s="6">
        <f>0</f>
        <v>0</v>
      </c>
      <c r="G624" s="6" t="s">
        <v>47</v>
      </c>
      <c r="H624" s="6">
        <f>0</f>
        <v>0</v>
      </c>
    </row>
    <row r="625" spans="1:8" ht="16.5" customHeight="1" x14ac:dyDescent="0.25">
      <c r="A625" s="67"/>
      <c r="B625" s="69"/>
      <c r="C625" s="7" t="s">
        <v>649</v>
      </c>
      <c r="D625" s="5" t="s">
        <v>1022</v>
      </c>
      <c r="E625" s="6">
        <f>0</f>
        <v>0</v>
      </c>
      <c r="F625" s="6">
        <f>0</f>
        <v>0</v>
      </c>
      <c r="G625" s="6" t="s">
        <v>10</v>
      </c>
      <c r="H625" s="6">
        <f>0</f>
        <v>0</v>
      </c>
    </row>
    <row r="626" spans="1:8" ht="16.5" customHeight="1" x14ac:dyDescent="0.25">
      <c r="A626" s="67"/>
      <c r="B626" s="69"/>
      <c r="C626" s="7" t="s">
        <v>650</v>
      </c>
      <c r="D626" s="5" t="s">
        <v>1023</v>
      </c>
      <c r="E626" s="6">
        <f>E627+E628</f>
        <v>30486.43</v>
      </c>
      <c r="F626" s="6">
        <f>F627+F628</f>
        <v>20855.36</v>
      </c>
      <c r="G626" s="6" t="s">
        <v>764</v>
      </c>
      <c r="H626" s="6">
        <f>H627+H628</f>
        <v>20855.36</v>
      </c>
    </row>
    <row r="627" spans="1:8" ht="16.5" customHeight="1" x14ac:dyDescent="0.25">
      <c r="A627" s="67"/>
      <c r="B627" s="69"/>
      <c r="C627" s="7" t="s">
        <v>698</v>
      </c>
      <c r="D627" s="5" t="s">
        <v>1017</v>
      </c>
      <c r="E627" s="6">
        <f>18686.43</f>
        <v>18686.43</v>
      </c>
      <c r="F627" s="6">
        <f>13690.61</f>
        <v>13690.61</v>
      </c>
      <c r="G627" s="6" t="s">
        <v>1024</v>
      </c>
      <c r="H627" s="6">
        <f>13690.61</f>
        <v>13690.61</v>
      </c>
    </row>
    <row r="628" spans="1:8" ht="16.5" customHeight="1" x14ac:dyDescent="0.25">
      <c r="A628" s="67"/>
      <c r="B628" s="69"/>
      <c r="C628" s="7" t="s">
        <v>699</v>
      </c>
      <c r="D628" s="5" t="s">
        <v>1025</v>
      </c>
      <c r="E628" s="6">
        <f>11800</f>
        <v>11800</v>
      </c>
      <c r="F628" s="6">
        <f>7164.75</f>
        <v>7164.75</v>
      </c>
      <c r="G628" s="6" t="s">
        <v>743</v>
      </c>
      <c r="H628" s="6">
        <f>7164.75</f>
        <v>7164.75</v>
      </c>
    </row>
    <row r="629" spans="1:8" ht="16.5" customHeight="1" x14ac:dyDescent="0.25">
      <c r="A629" s="67"/>
      <c r="B629" s="69"/>
      <c r="C629" s="7" t="s">
        <v>651</v>
      </c>
      <c r="D629" s="5" t="s">
        <v>1026</v>
      </c>
      <c r="E629" s="6">
        <f>E630+E631</f>
        <v>27183.4</v>
      </c>
      <c r="F629" s="6">
        <f>F630+F631</f>
        <v>21352.82</v>
      </c>
      <c r="G629" s="6" t="s">
        <v>1027</v>
      </c>
      <c r="H629" s="6">
        <f>H630+H631</f>
        <v>21352.82</v>
      </c>
    </row>
    <row r="630" spans="1:8" ht="16.5" customHeight="1" x14ac:dyDescent="0.25">
      <c r="A630" s="67"/>
      <c r="B630" s="69"/>
      <c r="C630" s="7" t="s">
        <v>700</v>
      </c>
      <c r="D630" s="5" t="s">
        <v>1017</v>
      </c>
      <c r="E630" s="6">
        <f>22683.4</f>
        <v>22683.4</v>
      </c>
      <c r="F630" s="6">
        <f>18693.27</f>
        <v>18693.27</v>
      </c>
      <c r="G630" s="6" t="s">
        <v>1028</v>
      </c>
      <c r="H630" s="6">
        <f>18693.27</f>
        <v>18693.27</v>
      </c>
    </row>
    <row r="631" spans="1:8" ht="16.5" customHeight="1" x14ac:dyDescent="0.25">
      <c r="A631" s="67"/>
      <c r="B631" s="69"/>
      <c r="C631" s="7" t="s">
        <v>701</v>
      </c>
      <c r="D631" s="5" t="s">
        <v>1029</v>
      </c>
      <c r="E631" s="6">
        <f>4500</f>
        <v>4500</v>
      </c>
      <c r="F631" s="6">
        <f>2659.55</f>
        <v>2659.55</v>
      </c>
      <c r="G631" s="6" t="s">
        <v>1030</v>
      </c>
      <c r="H631" s="6">
        <f>2659.55</f>
        <v>2659.55</v>
      </c>
    </row>
    <row r="632" spans="1:8" ht="16.5" customHeight="1" x14ac:dyDescent="0.25">
      <c r="A632" s="67"/>
      <c r="B632" s="69"/>
      <c r="C632" s="7" t="s">
        <v>652</v>
      </c>
      <c r="D632" s="5" t="s">
        <v>1008</v>
      </c>
      <c r="E632" s="6">
        <f>E633+E634+E635+E636</f>
        <v>31857.5</v>
      </c>
      <c r="F632" s="6">
        <f>F633+F634+F635+F636</f>
        <v>12694.33</v>
      </c>
      <c r="G632" s="6" t="s">
        <v>1031</v>
      </c>
      <c r="H632" s="6">
        <f>H633+H634+H635+H636</f>
        <v>12694.33</v>
      </c>
    </row>
    <row r="633" spans="1:8" ht="16.5" customHeight="1" x14ac:dyDescent="0.25">
      <c r="A633" s="67"/>
      <c r="B633" s="69"/>
      <c r="C633" s="7" t="s">
        <v>702</v>
      </c>
      <c r="D633" s="5" t="s">
        <v>1032</v>
      </c>
      <c r="E633" s="6">
        <f>19057.4</f>
        <v>19057.400000000001</v>
      </c>
      <c r="F633" s="6">
        <f>7915.45</f>
        <v>7915.45</v>
      </c>
      <c r="G633" s="6" t="s">
        <v>1033</v>
      </c>
      <c r="H633" s="6">
        <f>7915.45</f>
        <v>7915.45</v>
      </c>
    </row>
    <row r="634" spans="1:8" ht="16.5" customHeight="1" x14ac:dyDescent="0.25">
      <c r="A634" s="67"/>
      <c r="B634" s="69"/>
      <c r="C634" s="7" t="s">
        <v>703</v>
      </c>
      <c r="D634" s="5" t="s">
        <v>1008</v>
      </c>
      <c r="E634" s="6">
        <f>9167</f>
        <v>9167</v>
      </c>
      <c r="F634" s="6">
        <f>4778.88</f>
        <v>4778.88</v>
      </c>
      <c r="G634" s="6" t="s">
        <v>1034</v>
      </c>
      <c r="H634" s="6">
        <f>4778.88</f>
        <v>4778.88</v>
      </c>
    </row>
    <row r="635" spans="1:8" ht="16.5" customHeight="1" x14ac:dyDescent="0.25">
      <c r="A635" s="67"/>
      <c r="B635" s="69"/>
      <c r="C635" s="7" t="s">
        <v>704</v>
      </c>
      <c r="D635" s="5" t="s">
        <v>1035</v>
      </c>
      <c r="E635" s="6">
        <f>500</f>
        <v>500</v>
      </c>
      <c r="F635" s="6">
        <f>0</f>
        <v>0</v>
      </c>
      <c r="G635" s="6" t="s">
        <v>47</v>
      </c>
      <c r="H635" s="6">
        <f>0</f>
        <v>0</v>
      </c>
    </row>
    <row r="636" spans="1:8" ht="16.5" customHeight="1" x14ac:dyDescent="0.25">
      <c r="A636" s="67"/>
      <c r="B636" s="69"/>
      <c r="C636" s="7" t="s">
        <v>705</v>
      </c>
      <c r="D636" s="5" t="s">
        <v>1036</v>
      </c>
      <c r="E636" s="6">
        <f>3133.1</f>
        <v>3133.1</v>
      </c>
      <c r="F636" s="6">
        <f>0</f>
        <v>0</v>
      </c>
      <c r="G636" s="6" t="s">
        <v>47</v>
      </c>
      <c r="H636" s="6">
        <f>0</f>
        <v>0</v>
      </c>
    </row>
    <row r="637" spans="1:8" ht="16.5" customHeight="1" x14ac:dyDescent="0.25">
      <c r="A637" s="67"/>
      <c r="B637" s="69"/>
      <c r="C637" s="7" t="s">
        <v>653</v>
      </c>
      <c r="D637" s="5" t="s">
        <v>1037</v>
      </c>
      <c r="E637" s="6">
        <f>7000</f>
        <v>7000</v>
      </c>
      <c r="F637" s="6">
        <f>6964.1</f>
        <v>6964.1</v>
      </c>
      <c r="G637" s="6" t="s">
        <v>1038</v>
      </c>
      <c r="H637" s="6">
        <f>6964.1</f>
        <v>6964.1</v>
      </c>
    </row>
    <row r="638" spans="1:8" ht="16.5" customHeight="1" x14ac:dyDescent="0.25">
      <c r="A638" s="67"/>
      <c r="B638" s="69"/>
      <c r="C638" s="7" t="s">
        <v>345</v>
      </c>
      <c r="D638" s="5" t="s">
        <v>984</v>
      </c>
      <c r="E638" s="6">
        <f>E639+E640</f>
        <v>9200</v>
      </c>
      <c r="F638" s="6">
        <f>F639+F640</f>
        <v>9008.35</v>
      </c>
      <c r="G638" s="6" t="s">
        <v>1039</v>
      </c>
      <c r="H638" s="6">
        <f>H639+H640</f>
        <v>9008.35</v>
      </c>
    </row>
    <row r="639" spans="1:8" ht="16.5" customHeight="1" x14ac:dyDescent="0.25">
      <c r="A639" s="67"/>
      <c r="B639" s="69"/>
      <c r="C639" s="7" t="s">
        <v>706</v>
      </c>
      <c r="D639" s="5" t="s">
        <v>1017</v>
      </c>
      <c r="E639" s="6">
        <f>200</f>
        <v>200</v>
      </c>
      <c r="F639" s="6">
        <f>136.5</f>
        <v>136.5</v>
      </c>
      <c r="G639" s="6" t="s">
        <v>707</v>
      </c>
      <c r="H639" s="6">
        <f>136.5</f>
        <v>136.5</v>
      </c>
    </row>
    <row r="640" spans="1:8" ht="16.5" customHeight="1" x14ac:dyDescent="0.25">
      <c r="A640" s="67"/>
      <c r="B640" s="69"/>
      <c r="C640" s="7" t="s">
        <v>708</v>
      </c>
      <c r="D640" s="5" t="s">
        <v>1040</v>
      </c>
      <c r="E640" s="6">
        <f>9000</f>
        <v>9000</v>
      </c>
      <c r="F640" s="6">
        <f>8871.85</f>
        <v>8871.85</v>
      </c>
      <c r="G640" s="6" t="s">
        <v>1041</v>
      </c>
      <c r="H640" s="6">
        <f>8871.85</f>
        <v>8871.85</v>
      </c>
    </row>
    <row r="641" spans="1:8" ht="16.5" customHeight="1" x14ac:dyDescent="0.25">
      <c r="A641" s="67"/>
      <c r="B641" s="69"/>
      <c r="C641" s="7" t="s">
        <v>709</v>
      </c>
      <c r="D641" s="5" t="s">
        <v>986</v>
      </c>
      <c r="E641" s="6">
        <f>1700</f>
        <v>1700</v>
      </c>
      <c r="F641" s="6">
        <f>107.13</f>
        <v>107.13</v>
      </c>
      <c r="G641" s="6" t="s">
        <v>1042</v>
      </c>
      <c r="H641" s="6">
        <f>107.13</f>
        <v>107.13</v>
      </c>
    </row>
    <row r="642" spans="1:8" ht="16.5" customHeight="1" x14ac:dyDescent="0.25">
      <c r="A642" s="67"/>
      <c r="B642" s="69"/>
      <c r="C642" s="7" t="s">
        <v>710</v>
      </c>
      <c r="D642" s="5" t="s">
        <v>987</v>
      </c>
      <c r="E642" s="6">
        <f>0</f>
        <v>0</v>
      </c>
      <c r="F642" s="6">
        <f>0</f>
        <v>0</v>
      </c>
      <c r="G642" s="6" t="s">
        <v>10</v>
      </c>
      <c r="H642" s="6">
        <f>0</f>
        <v>0</v>
      </c>
    </row>
    <row r="643" spans="1:8" ht="16.5" customHeight="1" x14ac:dyDescent="0.25">
      <c r="A643" s="67"/>
      <c r="B643" s="69"/>
      <c r="C643" s="7" t="s">
        <v>654</v>
      </c>
      <c r="D643" s="5" t="s">
        <v>950</v>
      </c>
      <c r="E643" s="6">
        <f>E644+E645</f>
        <v>20151.5</v>
      </c>
      <c r="F643" s="6">
        <f>F644+F645</f>
        <v>15000</v>
      </c>
      <c r="G643" s="6" t="s">
        <v>1043</v>
      </c>
      <c r="H643" s="6">
        <f>H644+H645</f>
        <v>15000</v>
      </c>
    </row>
    <row r="644" spans="1:8" ht="16.5" customHeight="1" x14ac:dyDescent="0.25">
      <c r="A644" s="67"/>
      <c r="B644" s="69"/>
      <c r="C644" s="7" t="s">
        <v>1044</v>
      </c>
      <c r="D644" s="5" t="s">
        <v>1045</v>
      </c>
      <c r="E644" s="6">
        <f>2391.98+759.52</f>
        <v>3151.5</v>
      </c>
      <c r="F644" s="6">
        <f>0</f>
        <v>0</v>
      </c>
      <c r="G644" s="6" t="s">
        <v>47</v>
      </c>
      <c r="H644" s="6">
        <f>0</f>
        <v>0</v>
      </c>
    </row>
    <row r="645" spans="1:8" ht="16.5" customHeight="1" x14ac:dyDescent="0.25">
      <c r="A645" s="67"/>
      <c r="B645" s="69"/>
      <c r="C645" s="7" t="s">
        <v>1046</v>
      </c>
      <c r="D645" s="5" t="s">
        <v>1047</v>
      </c>
      <c r="E645" s="6">
        <f>17000</f>
        <v>17000</v>
      </c>
      <c r="F645" s="6">
        <f>15000</f>
        <v>15000</v>
      </c>
      <c r="G645" s="6" t="s">
        <v>1048</v>
      </c>
      <c r="H645" s="6">
        <f>15000</f>
        <v>15000</v>
      </c>
    </row>
    <row r="646" spans="1:8" ht="16.5" customHeight="1" x14ac:dyDescent="0.25">
      <c r="A646" s="67"/>
      <c r="B646" s="69"/>
      <c r="C646" s="7" t="s">
        <v>655</v>
      </c>
      <c r="D646" s="5" t="s">
        <v>960</v>
      </c>
      <c r="E646" s="6">
        <f>7471.19+2372.45</f>
        <v>9843.64</v>
      </c>
      <c r="F646" s="6">
        <f>0</f>
        <v>0</v>
      </c>
      <c r="G646" s="6" t="s">
        <v>47</v>
      </c>
      <c r="H646" s="6">
        <f>0</f>
        <v>0</v>
      </c>
    </row>
    <row r="647" spans="1:8" ht="16.5" customHeight="1" x14ac:dyDescent="0.25">
      <c r="A647" s="67"/>
      <c r="B647" s="69"/>
      <c r="C647" s="7" t="s">
        <v>656</v>
      </c>
      <c r="D647" s="5" t="s">
        <v>1049</v>
      </c>
      <c r="E647" s="6">
        <f>0</f>
        <v>0</v>
      </c>
      <c r="F647" s="6">
        <f>0</f>
        <v>0</v>
      </c>
      <c r="G647" s="6" t="s">
        <v>10</v>
      </c>
      <c r="H647" s="6">
        <f>0</f>
        <v>0</v>
      </c>
    </row>
    <row r="648" spans="1:8" ht="16.5" customHeight="1" x14ac:dyDescent="0.25">
      <c r="A648" s="67"/>
      <c r="B648" s="69"/>
      <c r="C648" s="7" t="s">
        <v>657</v>
      </c>
      <c r="D648" s="5" t="s">
        <v>937</v>
      </c>
      <c r="E648" s="6">
        <f>E649+E650</f>
        <v>5005.2</v>
      </c>
      <c r="F648" s="6">
        <f>F649+F650</f>
        <v>2887.91</v>
      </c>
      <c r="G648" s="6" t="s">
        <v>1050</v>
      </c>
      <c r="H648" s="6">
        <f>H649+H650</f>
        <v>2887.91</v>
      </c>
    </row>
    <row r="649" spans="1:8" ht="16.5" customHeight="1" x14ac:dyDescent="0.25">
      <c r="A649" s="67"/>
      <c r="B649" s="69"/>
      <c r="C649" s="7" t="s">
        <v>954</v>
      </c>
      <c r="D649" s="5" t="s">
        <v>937</v>
      </c>
      <c r="E649" s="6">
        <f>3000</f>
        <v>3000</v>
      </c>
      <c r="F649" s="6">
        <f>2887.91</f>
        <v>2887.91</v>
      </c>
      <c r="G649" s="6" t="s">
        <v>1051</v>
      </c>
      <c r="H649" s="6">
        <f>2887.91</f>
        <v>2887.91</v>
      </c>
    </row>
    <row r="650" spans="1:8" ht="16.5" customHeight="1" x14ac:dyDescent="0.25">
      <c r="A650" s="67"/>
      <c r="B650" s="69"/>
      <c r="C650" s="7" t="s">
        <v>955</v>
      </c>
      <c r="D650" s="5" t="s">
        <v>1052</v>
      </c>
      <c r="E650" s="6">
        <f>2005.2</f>
        <v>2005.2</v>
      </c>
      <c r="F650" s="6">
        <f>0</f>
        <v>0</v>
      </c>
      <c r="G650" s="6" t="s">
        <v>47</v>
      </c>
      <c r="H650" s="6">
        <f>0</f>
        <v>0</v>
      </c>
    </row>
    <row r="651" spans="1:8" ht="24" customHeight="1" x14ac:dyDescent="0.25">
      <c r="A651" s="67"/>
      <c r="B651" s="69"/>
      <c r="C651" s="3" t="s">
        <v>25</v>
      </c>
      <c r="D651" s="3" t="s">
        <v>1053</v>
      </c>
      <c r="E651" s="4">
        <f>E652+E655</f>
        <v>8780</v>
      </c>
      <c r="F651" s="4">
        <f>F652+F655</f>
        <v>1795.5</v>
      </c>
      <c r="G651" s="4" t="s">
        <v>1054</v>
      </c>
      <c r="H651" s="4">
        <f>H652+H655</f>
        <v>1795.5</v>
      </c>
    </row>
    <row r="652" spans="1:8" ht="19.5" customHeight="1" x14ac:dyDescent="0.25">
      <c r="A652" s="67"/>
      <c r="B652" s="69"/>
      <c r="C652" s="5" t="s">
        <v>21</v>
      </c>
      <c r="D652" s="5" t="s">
        <v>1055</v>
      </c>
      <c r="E652" s="6">
        <f>E653+E654</f>
        <v>3780</v>
      </c>
      <c r="F652" s="6">
        <f>F653+F654</f>
        <v>1795.5</v>
      </c>
      <c r="G652" s="6" t="s">
        <v>1056</v>
      </c>
      <c r="H652" s="6">
        <f>H653+H654</f>
        <v>1795.5</v>
      </c>
    </row>
    <row r="653" spans="1:8" ht="19.5" customHeight="1" x14ac:dyDescent="0.25">
      <c r="A653" s="67"/>
      <c r="B653" s="69"/>
      <c r="C653" s="7" t="s">
        <v>258</v>
      </c>
      <c r="D653" s="5" t="s">
        <v>1057</v>
      </c>
      <c r="E653" s="6">
        <f>1362.78+432.72+1984.5</f>
        <v>3780</v>
      </c>
      <c r="F653" s="6">
        <f>1362.78+432.72</f>
        <v>1795.5</v>
      </c>
      <c r="G653" s="6" t="s">
        <v>1056</v>
      </c>
      <c r="H653" s="6">
        <f>1362.78+432.72</f>
        <v>1795.5</v>
      </c>
    </row>
    <row r="654" spans="1:8" ht="19.5" customHeight="1" x14ac:dyDescent="0.25">
      <c r="A654" s="67"/>
      <c r="B654" s="69"/>
      <c r="C654" s="7" t="s">
        <v>262</v>
      </c>
      <c r="D654" s="5" t="s">
        <v>1058</v>
      </c>
      <c r="E654" s="6">
        <f>0</f>
        <v>0</v>
      </c>
      <c r="F654" s="6">
        <f>0</f>
        <v>0</v>
      </c>
      <c r="G654" s="6" t="s">
        <v>10</v>
      </c>
      <c r="H654" s="6">
        <f>0</f>
        <v>0</v>
      </c>
    </row>
    <row r="655" spans="1:8" ht="24" customHeight="1" x14ac:dyDescent="0.25">
      <c r="A655" s="67"/>
      <c r="B655" s="69"/>
      <c r="C655" s="5" t="s">
        <v>36</v>
      </c>
      <c r="D655" s="5" t="s">
        <v>1059</v>
      </c>
      <c r="E655" s="6">
        <f>E656</f>
        <v>5000</v>
      </c>
      <c r="F655" s="6">
        <f>F656</f>
        <v>0</v>
      </c>
      <c r="G655" s="6" t="s">
        <v>47</v>
      </c>
      <c r="H655" s="6">
        <f>H656</f>
        <v>0</v>
      </c>
    </row>
    <row r="656" spans="1:8" ht="18.75" customHeight="1" x14ac:dyDescent="0.25">
      <c r="A656" s="67"/>
      <c r="B656" s="69"/>
      <c r="C656" s="7" t="s">
        <v>272</v>
      </c>
      <c r="D656" s="5" t="s">
        <v>1060</v>
      </c>
      <c r="E656" s="6">
        <f>E657+E658</f>
        <v>5000</v>
      </c>
      <c r="F656" s="6">
        <f>F657+F658</f>
        <v>0</v>
      </c>
      <c r="G656" s="6" t="s">
        <v>47</v>
      </c>
      <c r="H656" s="6">
        <f>H657+H658</f>
        <v>0</v>
      </c>
    </row>
    <row r="657" spans="1:8" ht="18.75" customHeight="1" x14ac:dyDescent="0.25">
      <c r="A657" s="67"/>
      <c r="B657" s="69"/>
      <c r="C657" s="7" t="s">
        <v>711</v>
      </c>
      <c r="D657" s="5" t="s">
        <v>1060</v>
      </c>
      <c r="E657" s="6">
        <f>5000</f>
        <v>5000</v>
      </c>
      <c r="F657" s="6">
        <f>0</f>
        <v>0</v>
      </c>
      <c r="G657" s="6" t="s">
        <v>47</v>
      </c>
      <c r="H657" s="6">
        <f>0</f>
        <v>0</v>
      </c>
    </row>
    <row r="658" spans="1:8" ht="24" customHeight="1" x14ac:dyDescent="0.25">
      <c r="A658" s="67"/>
      <c r="B658" s="69"/>
      <c r="C658" s="7" t="s">
        <v>712</v>
      </c>
      <c r="D658" s="5" t="s">
        <v>1061</v>
      </c>
      <c r="E658" s="6">
        <f>0</f>
        <v>0</v>
      </c>
      <c r="F658" s="6">
        <f>0</f>
        <v>0</v>
      </c>
      <c r="G658" s="6" t="s">
        <v>10</v>
      </c>
      <c r="H658" s="6">
        <f>0</f>
        <v>0</v>
      </c>
    </row>
    <row r="659" spans="1:8" ht="21" customHeight="1" x14ac:dyDescent="0.25">
      <c r="A659" s="67"/>
      <c r="B659" s="69"/>
      <c r="C659" s="31" t="s">
        <v>13</v>
      </c>
      <c r="D659" s="31" t="s">
        <v>40</v>
      </c>
      <c r="E659" s="32">
        <f>E660</f>
        <v>708</v>
      </c>
      <c r="F659" s="32">
        <f>F660</f>
        <v>372.92</v>
      </c>
      <c r="G659" s="32" t="s">
        <v>1062</v>
      </c>
      <c r="H659" s="32">
        <f>H660</f>
        <v>372.92</v>
      </c>
    </row>
    <row r="660" spans="1:8" ht="18" customHeight="1" x14ac:dyDescent="0.25">
      <c r="A660" s="67"/>
      <c r="B660" s="69"/>
      <c r="C660" s="5" t="s">
        <v>21</v>
      </c>
      <c r="D660" s="5" t="s">
        <v>41</v>
      </c>
      <c r="E660" s="6">
        <f>E661</f>
        <v>708</v>
      </c>
      <c r="F660" s="6">
        <f>F661</f>
        <v>372.92</v>
      </c>
      <c r="G660" s="6" t="s">
        <v>1062</v>
      </c>
      <c r="H660" s="6">
        <f>H661</f>
        <v>372.92</v>
      </c>
    </row>
    <row r="661" spans="1:8" ht="24" customHeight="1" x14ac:dyDescent="0.25">
      <c r="A661" s="67"/>
      <c r="B661" s="69"/>
      <c r="C661" s="7" t="s">
        <v>652</v>
      </c>
      <c r="D661" s="5" t="s">
        <v>713</v>
      </c>
      <c r="E661" s="6">
        <f>708</f>
        <v>708</v>
      </c>
      <c r="F661" s="33">
        <f>372.92</f>
        <v>372.92</v>
      </c>
      <c r="G661" s="6" t="s">
        <v>1062</v>
      </c>
      <c r="H661" s="33">
        <f>372.92</f>
        <v>372.92</v>
      </c>
    </row>
    <row r="662" spans="1:8" ht="20.25" customHeight="1" thickBot="1" x14ac:dyDescent="0.3">
      <c r="A662" s="57" t="s">
        <v>18</v>
      </c>
      <c r="B662" s="58"/>
      <c r="C662" s="58"/>
      <c r="D662" s="58"/>
      <c r="E662" s="37">
        <f>E546+E611+E651+E659</f>
        <v>727157.65</v>
      </c>
      <c r="F662" s="34">
        <f>F546+F611+F651+F659</f>
        <v>283347.76999999996</v>
      </c>
      <c r="G662" s="34" t="s">
        <v>1063</v>
      </c>
      <c r="H662" s="34">
        <f>H546+H611+H651+H659</f>
        <v>283347.76999999996</v>
      </c>
    </row>
    <row r="663" spans="1:8" ht="20.25" customHeight="1" x14ac:dyDescent="0.25">
      <c r="A663" s="53">
        <v>18</v>
      </c>
      <c r="B663" s="68" t="s">
        <v>191</v>
      </c>
      <c r="C663" s="3" t="s">
        <v>8</v>
      </c>
      <c r="D663" s="3" t="s">
        <v>1064</v>
      </c>
      <c r="E663" s="4">
        <f>E664</f>
        <v>0</v>
      </c>
      <c r="F663" s="4">
        <f>F664</f>
        <v>0</v>
      </c>
      <c r="G663" s="21" t="s">
        <v>10</v>
      </c>
      <c r="H663" s="27">
        <f>H664</f>
        <v>0</v>
      </c>
    </row>
    <row r="664" spans="1:8" ht="17.25" customHeight="1" x14ac:dyDescent="0.25">
      <c r="A664" s="54"/>
      <c r="B664" s="69"/>
      <c r="C664" s="5" t="s">
        <v>36</v>
      </c>
      <c r="D664" s="5" t="s">
        <v>1065</v>
      </c>
      <c r="E664" s="6">
        <f>0</f>
        <v>0</v>
      </c>
      <c r="F664" s="6">
        <f>0</f>
        <v>0</v>
      </c>
      <c r="G664" s="22" t="s">
        <v>10</v>
      </c>
      <c r="H664" s="6">
        <f>0</f>
        <v>0</v>
      </c>
    </row>
    <row r="665" spans="1:8" ht="20.25" customHeight="1" x14ac:dyDescent="0.25">
      <c r="A665" s="54"/>
      <c r="B665" s="69"/>
      <c r="C665" s="3" t="s">
        <v>20</v>
      </c>
      <c r="D665" s="3" t="s">
        <v>1066</v>
      </c>
      <c r="E665" s="4">
        <f>E666</f>
        <v>0</v>
      </c>
      <c r="F665" s="4">
        <f>F666</f>
        <v>0</v>
      </c>
      <c r="G665" s="21" t="s">
        <v>10</v>
      </c>
      <c r="H665" s="4">
        <f>H666</f>
        <v>0</v>
      </c>
    </row>
    <row r="666" spans="1:8" ht="17.25" customHeight="1" x14ac:dyDescent="0.25">
      <c r="A666" s="54"/>
      <c r="B666" s="69"/>
      <c r="C666" s="5" t="s">
        <v>232</v>
      </c>
      <c r="D666" s="5" t="s">
        <v>84</v>
      </c>
      <c r="E666" s="6">
        <f>0</f>
        <v>0</v>
      </c>
      <c r="F666" s="6">
        <f>0</f>
        <v>0</v>
      </c>
      <c r="G666" s="22" t="s">
        <v>10</v>
      </c>
      <c r="H666" s="6">
        <f>0</f>
        <v>0</v>
      </c>
    </row>
    <row r="667" spans="1:8" ht="19.5" customHeight="1" x14ac:dyDescent="0.25">
      <c r="A667" s="54"/>
      <c r="B667" s="69"/>
      <c r="C667" s="3" t="s">
        <v>25</v>
      </c>
      <c r="D667" s="3" t="s">
        <v>1067</v>
      </c>
      <c r="E667" s="4">
        <f>E668+E670</f>
        <v>489510.64</v>
      </c>
      <c r="F667" s="4">
        <f>F668+F670</f>
        <v>157312.64000000001</v>
      </c>
      <c r="G667" s="21" t="s">
        <v>1068</v>
      </c>
      <c r="H667" s="4">
        <f>H668+H670</f>
        <v>157312.64000000001</v>
      </c>
    </row>
    <row r="668" spans="1:8" ht="17.25" customHeight="1" x14ac:dyDescent="0.25">
      <c r="A668" s="54"/>
      <c r="B668" s="69"/>
      <c r="C668" s="5" t="s">
        <v>21</v>
      </c>
      <c r="D668" s="5" t="s">
        <v>1069</v>
      </c>
      <c r="E668" s="6">
        <f>E669</f>
        <v>489510.64</v>
      </c>
      <c r="F668" s="6">
        <f>F669</f>
        <v>157312.64000000001</v>
      </c>
      <c r="G668" s="22" t="s">
        <v>1068</v>
      </c>
      <c r="H668" s="6">
        <f>H669</f>
        <v>157312.64000000001</v>
      </c>
    </row>
    <row r="669" spans="1:8" ht="17.25" customHeight="1" x14ac:dyDescent="0.25">
      <c r="A669" s="54"/>
      <c r="B669" s="69"/>
      <c r="C669" s="7" t="s">
        <v>258</v>
      </c>
      <c r="D669" s="5" t="s">
        <v>1070</v>
      </c>
      <c r="E669" s="6">
        <f>489217.13+293.51</f>
        <v>489510.64</v>
      </c>
      <c r="F669" s="6">
        <f>157146.88+165.76</f>
        <v>157312.64000000001</v>
      </c>
      <c r="G669" s="22" t="s">
        <v>1068</v>
      </c>
      <c r="H669" s="6">
        <f>157146.88+165.76</f>
        <v>157312.64000000001</v>
      </c>
    </row>
    <row r="670" spans="1:8" ht="17.25" customHeight="1" x14ac:dyDescent="0.25">
      <c r="A670" s="54"/>
      <c r="B670" s="69"/>
      <c r="C670" s="5" t="s">
        <v>200</v>
      </c>
      <c r="D670" s="5" t="s">
        <v>80</v>
      </c>
      <c r="E670" s="6">
        <f>0</f>
        <v>0</v>
      </c>
      <c r="F670" s="6">
        <f>0</f>
        <v>0</v>
      </c>
      <c r="G670" s="22" t="s">
        <v>10</v>
      </c>
      <c r="H670" s="6">
        <f>0</f>
        <v>0</v>
      </c>
    </row>
    <row r="671" spans="1:8" ht="18" customHeight="1" x14ac:dyDescent="0.25">
      <c r="A671" s="54"/>
      <c r="B671" s="69"/>
      <c r="C671" s="3" t="s">
        <v>13</v>
      </c>
      <c r="D671" s="3" t="s">
        <v>1071</v>
      </c>
      <c r="E671" s="4">
        <f>E672+E674</f>
        <v>700000</v>
      </c>
      <c r="F671" s="4">
        <f>F672+F674</f>
        <v>520000</v>
      </c>
      <c r="G671" s="21" t="s">
        <v>1072</v>
      </c>
      <c r="H671" s="4">
        <f>H672+H674</f>
        <v>520000</v>
      </c>
    </row>
    <row r="672" spans="1:8" ht="17.25" customHeight="1" x14ac:dyDescent="0.25">
      <c r="A672" s="54"/>
      <c r="B672" s="69"/>
      <c r="C672" s="5" t="s">
        <v>36</v>
      </c>
      <c r="D672" s="5" t="s">
        <v>1073</v>
      </c>
      <c r="E672" s="6">
        <f>E673</f>
        <v>700000</v>
      </c>
      <c r="F672" s="6">
        <f>F673</f>
        <v>520000</v>
      </c>
      <c r="G672" s="22" t="s">
        <v>1072</v>
      </c>
      <c r="H672" s="6">
        <f>H673</f>
        <v>520000</v>
      </c>
    </row>
    <row r="673" spans="1:8" ht="17.25" customHeight="1" x14ac:dyDescent="0.25">
      <c r="A673" s="54"/>
      <c r="B673" s="69"/>
      <c r="C673" s="7" t="s">
        <v>1074</v>
      </c>
      <c r="D673" s="5" t="s">
        <v>1075</v>
      </c>
      <c r="E673" s="6">
        <f>700000</f>
        <v>700000</v>
      </c>
      <c r="F673" s="6">
        <f>520000</f>
        <v>520000</v>
      </c>
      <c r="G673" s="22" t="s">
        <v>1072</v>
      </c>
      <c r="H673" s="6">
        <f>520000</f>
        <v>520000</v>
      </c>
    </row>
    <row r="674" spans="1:8" ht="17.25" customHeight="1" x14ac:dyDescent="0.25">
      <c r="A674" s="54"/>
      <c r="B674" s="69"/>
      <c r="C674" s="5" t="s">
        <v>715</v>
      </c>
      <c r="D674" s="5" t="s">
        <v>1076</v>
      </c>
      <c r="E674" s="6">
        <f>0</f>
        <v>0</v>
      </c>
      <c r="F674" s="6">
        <f>0</f>
        <v>0</v>
      </c>
      <c r="G674" s="22" t="s">
        <v>10</v>
      </c>
      <c r="H674" s="6">
        <f>0</f>
        <v>0</v>
      </c>
    </row>
    <row r="675" spans="1:8" ht="21" customHeight="1" thickBot="1" x14ac:dyDescent="0.3">
      <c r="A675" s="70" t="s">
        <v>18</v>
      </c>
      <c r="B675" s="71"/>
      <c r="C675" s="71"/>
      <c r="D675" s="72"/>
      <c r="E675" s="37">
        <f>E663+E665+E667+E671</f>
        <v>1189510.6400000001</v>
      </c>
      <c r="F675" s="34">
        <f>F663+F665+F667+F671</f>
        <v>677312.64</v>
      </c>
      <c r="G675" s="38" t="s">
        <v>1077</v>
      </c>
      <c r="H675" s="34">
        <f>H663+H665+H667+H671</f>
        <v>677312.64</v>
      </c>
    </row>
    <row r="679" spans="1:8" x14ac:dyDescent="0.25">
      <c r="D679" s="13"/>
    </row>
    <row r="680" spans="1:8" ht="18.75" x14ac:dyDescent="0.3">
      <c r="E680" s="15"/>
      <c r="F680" s="15"/>
    </row>
    <row r="681" spans="1:8" ht="18.75" x14ac:dyDescent="0.3">
      <c r="E681" s="16"/>
      <c r="F681" s="16"/>
    </row>
    <row r="682" spans="1:8" ht="18.75" x14ac:dyDescent="0.3">
      <c r="E682" s="16"/>
      <c r="F682" s="16"/>
    </row>
    <row r="683" spans="1:8" ht="18.75" x14ac:dyDescent="0.3">
      <c r="E683" s="16"/>
      <c r="F683" s="16"/>
    </row>
  </sheetData>
  <mergeCells count="55">
    <mergeCell ref="A1:H2"/>
    <mergeCell ref="A675:D675"/>
    <mergeCell ref="A535:A544"/>
    <mergeCell ref="B535:B544"/>
    <mergeCell ref="A545:D545"/>
    <mergeCell ref="A546:A661"/>
    <mergeCell ref="B546:B661"/>
    <mergeCell ref="A662:D662"/>
    <mergeCell ref="A496:D496"/>
    <mergeCell ref="B207:B310"/>
    <mergeCell ref="A207:A310"/>
    <mergeCell ref="A663:A674"/>
    <mergeCell ref="B663:B674"/>
    <mergeCell ref="A534:D534"/>
    <mergeCell ref="A398:A421"/>
    <mergeCell ref="A497:A533"/>
    <mergeCell ref="B497:B533"/>
    <mergeCell ref="A397:D397"/>
    <mergeCell ref="A458:A495"/>
    <mergeCell ref="B458:B495"/>
    <mergeCell ref="B423:B456"/>
    <mergeCell ref="A457:D457"/>
    <mergeCell ref="A353:A396"/>
    <mergeCell ref="B353:B396"/>
    <mergeCell ref="A422:D422"/>
    <mergeCell ref="A423:A456"/>
    <mergeCell ref="A206:D206"/>
    <mergeCell ref="A328:D328"/>
    <mergeCell ref="A329:A351"/>
    <mergeCell ref="B329:B351"/>
    <mergeCell ref="A352:D352"/>
    <mergeCell ref="A311:D311"/>
    <mergeCell ref="A312:A327"/>
    <mergeCell ref="B312:B327"/>
    <mergeCell ref="B398:B421"/>
    <mergeCell ref="A121:A158"/>
    <mergeCell ref="B121:B158"/>
    <mergeCell ref="A159:D159"/>
    <mergeCell ref="A160:A176"/>
    <mergeCell ref="B160:B176"/>
    <mergeCell ref="A177:D177"/>
    <mergeCell ref="A184:D184"/>
    <mergeCell ref="A185:A205"/>
    <mergeCell ref="B185:B205"/>
    <mergeCell ref="A178:A183"/>
    <mergeCell ref="B178:B183"/>
    <mergeCell ref="A120:D120"/>
    <mergeCell ref="A5:A10"/>
    <mergeCell ref="B5:B10"/>
    <mergeCell ref="A11:D11"/>
    <mergeCell ref="A12:A52"/>
    <mergeCell ref="B12:B52"/>
    <mergeCell ref="A53:D53"/>
    <mergeCell ref="A54:A119"/>
    <mergeCell ref="B54:B119"/>
  </mergeCells>
  <pageMargins left="0" right="0" top="0" bottom="0" header="0.31496062992125984" footer="0.31496062992125984"/>
  <pageSetup paperSize="9" scale="46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2022-11-21T08:07:44Z</cp:lastPrinted>
  <dcterms:created xsi:type="dcterms:W3CDTF">2020-07-31T08:15:26Z</dcterms:created>
  <dcterms:modified xsi:type="dcterms:W3CDTF">2025-01-15T12:25:15Z</dcterms:modified>
</cp:coreProperties>
</file>